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s349016" algorithmName="SHA-512" hashValue="FFisQ1TXe1Pz8BXSEZreurUqZKI0/AyC0PlPMMX+gNOLXALiOVPESfYHV5oBFHS6ZA4ng9LXiHLObAdf4lxkVQ==" saltValue="XbNjOh0fLOhnqSyLkrnHbw==" spinCount="100000"/>
  <workbookPr filterPrivacy="1" codeName="ThisWorkbook" defaultThemeVersion="124226"/>
  <xr:revisionPtr revIDLastSave="0" documentId="13_ncr:10001_{BC1FA4C2-E338-49EE-98C8-0526A275647E}" xr6:coauthVersionLast="47" xr6:coauthVersionMax="47" xr10:uidLastSave="{00000000-0000-0000-0000-000000000000}"/>
  <bookViews>
    <workbookView xWindow="-120" yWindow="-120" windowWidth="24240" windowHeight="13020" tabRatio="820" xr2:uid="{00000000-000D-0000-FFFF-FFFF00000000}"/>
  </bookViews>
  <sheets>
    <sheet name="Zonal Rates" sheetId="147" r:id="rId1"/>
    <sheet name="Sch 1 Rates" sheetId="149" r:id="rId2"/>
    <sheet name="OKT Sch 11 Rates" sheetId="232" r:id="rId3"/>
    <sheet name="SWT Sch 11 Rates" sheetId="231" r:id="rId4"/>
    <sheet name="Load WS" sheetId="153" r:id="rId5"/>
    <sheet name="OKT TCOS" sheetId="86" r:id="rId6"/>
    <sheet name="OKT WS A-1 - Plant" sheetId="186" r:id="rId7"/>
    <sheet name="OKT WS A-2 Accumulated Depn" sheetId="188" r:id="rId8"/>
    <sheet name="OKT WS B - Facility credits" sheetId="146" r:id="rId9"/>
    <sheet name="OKT WS C ADIT &amp; ADITC" sheetId="89" r:id="rId10"/>
    <sheet name="OKT WS C-1 ADIT EOY" sheetId="139" r:id="rId11"/>
    <sheet name="OKT WS C-2 ADIT BOY" sheetId="90" r:id="rId12"/>
    <sheet name="OKT WS C-3 ADIT Proration" sheetId="145" r:id="rId13"/>
    <sheet name="OKT WS C-4 Excess FIT" sheetId="193" r:id="rId14"/>
    <sheet name="OKT WS C-5 Excess ADIT" sheetId="236" r:id="rId15"/>
    <sheet name="OKTCO C-5-A Remeasurement" sheetId="235" r:id="rId16"/>
    <sheet name="OKTCO C-5-B Remeasurement" sheetId="239" r:id="rId17"/>
    <sheet name="OKT WS D Working Capital" sheetId="74" r:id="rId18"/>
    <sheet name="OKT WS E IPP Credits" sheetId="52" r:id="rId19"/>
    <sheet name="OKT WS F BPU ATRR" sheetId="143" r:id="rId20"/>
    <sheet name="OKT WS G BPU ATRR" sheetId="129" r:id="rId21"/>
    <sheet name="OKT WS H Rev Credits" sheetId="96" r:id="rId22"/>
    <sheet name="OKT WS I Exp Adj" sheetId="91" r:id="rId23"/>
    <sheet name="OKT WS J Misc Exp" sheetId="39" r:id="rId24"/>
    <sheet name="OKT WS K State Taxes" sheetId="94" r:id="rId25"/>
    <sheet name="OKT WS L Other Taxes" sheetId="78" r:id="rId26"/>
    <sheet name="OKT WS M - Cost of Capital" sheetId="203" r:id="rId27"/>
    <sheet name="OKT WS N Sch 11 TU" sheetId="178" r:id="rId28"/>
    <sheet name="OKT WS O Sch 9 NITS TU" sheetId="179" r:id="rId29"/>
    <sheet name="OKT WS P Sch 1 NITS TU" sheetId="196" r:id="rId30"/>
    <sheet name="OKT WS Q Interest Rate" sheetId="180" r:id="rId31"/>
    <sheet name="OKT WS R Unfunded Reserves" sheetId="189" r:id="rId32"/>
    <sheet name="OKT WS S Reg Assets" sheetId="190" r:id="rId33"/>
    <sheet name="OKT WS T - Dep Rates" sheetId="194" r:id="rId34"/>
    <sheet name="SWT TCOS" sheetId="204" r:id="rId35"/>
    <sheet name="SWT WS A-1 - Plant" sheetId="205" r:id="rId36"/>
    <sheet name="SWT WS A-2 Accumulated Depn" sheetId="206" r:id="rId37"/>
    <sheet name="SWT WS B - Facility credits" sheetId="207" r:id="rId38"/>
    <sheet name="SWT WS C ADIT &amp; ADITC" sheetId="208" r:id="rId39"/>
    <sheet name="SWT WS C-1 ADIT EOY" sheetId="209" r:id="rId40"/>
    <sheet name="SWT WS C-2 ADIT BOY" sheetId="210" r:id="rId41"/>
    <sheet name="SWT WS C-3 ADIT Proration" sheetId="211" r:id="rId42"/>
    <sheet name="SWT WS C-4 Excess FIT" sheetId="212" r:id="rId43"/>
    <sheet name="SWT WS C-5 Excess ADIT" sheetId="234" r:id="rId44"/>
    <sheet name="SWTCO WS C-5-A Remeasurement" sheetId="233" r:id="rId45"/>
    <sheet name="SWTCO WS C-5-B Remeasurement" sheetId="238" r:id="rId46"/>
    <sheet name="SWT WS D Working Capital" sheetId="213" r:id="rId47"/>
    <sheet name="SWT WS E IPP Credits" sheetId="214" r:id="rId48"/>
    <sheet name="SWT WS F BPU ATRR" sheetId="215" r:id="rId49"/>
    <sheet name="SWT WS G BPU ATRR" sheetId="216" r:id="rId50"/>
    <sheet name="SWT WS H Rev Credits" sheetId="217" r:id="rId51"/>
    <sheet name="SWT WS I Exp Adj" sheetId="218" r:id="rId52"/>
    <sheet name="SWT WS J Misc Exp" sheetId="219" r:id="rId53"/>
    <sheet name="SWT WS K State Taxes" sheetId="220" r:id="rId54"/>
    <sheet name="SWT WS L Other Taxes" sheetId="221" r:id="rId55"/>
    <sheet name="SWT WS M - Cost of Capital" sheetId="222" r:id="rId56"/>
    <sheet name="SWT WS N Sch 11 TU" sheetId="223" r:id="rId57"/>
    <sheet name="SWT WS O Sch 9 NITS TU" sheetId="224" r:id="rId58"/>
    <sheet name="SWT WS P Sch 1 NITS TU" sheetId="225" r:id="rId59"/>
    <sheet name="SWT WS Q Interest Rate" sheetId="226" r:id="rId60"/>
    <sheet name="SWT WS R Unfunded Reserves" sheetId="227" r:id="rId61"/>
    <sheet name="SWT WS S Reg Assets" sheetId="228" r:id="rId62"/>
  </sheets>
  <definedNames>
    <definedName name="_xlnm.Print_Area" localSheetId="2">'OKT Sch 11 Rates'!$A$1:$T$42</definedName>
    <definedName name="_xlnm.Print_Area" localSheetId="5">'OKT TCOS'!$A$1:$L$340</definedName>
    <definedName name="_xlnm.Print_Area" localSheetId="14">'OKT WS C-5 Excess ADIT'!$A$12:$R$78</definedName>
    <definedName name="_xlnm.Print_Area" localSheetId="19">'OKT WS F BPU ATRR'!$A$1:$O$164</definedName>
    <definedName name="_xlnm.Print_Area" localSheetId="20">'OKT WS G BPU ATRR'!$A$1:$Q$166</definedName>
    <definedName name="_xlnm.Print_Area" localSheetId="26">'OKT WS M - Cost of Capital'!$A$1:$H$89</definedName>
    <definedName name="_xlnm.Print_Area" localSheetId="15">'OKTCO C-5-A Remeasurement'!$A$1:$L$44</definedName>
    <definedName name="_xlnm.Print_Area" localSheetId="16">'OKTCO C-5-B Remeasurement'!$A$1:$L$78</definedName>
    <definedName name="_xlnm.Print_Area" localSheetId="3">'SWT Sch 11 Rates'!$A$1:$T$38</definedName>
    <definedName name="_xlnm.Print_Area" localSheetId="34">'SWT TCOS'!$A$1:$L$342</definedName>
    <definedName name="_xlnm.Print_Area" localSheetId="43">'SWT WS C-5 Excess ADIT'!$A$12:$R$78</definedName>
    <definedName name="_xlnm.Print_Area" localSheetId="48">'SWT WS F BPU ATRR'!$A$1:$O$164</definedName>
    <definedName name="_xlnm.Print_Area" localSheetId="49">'SWT WS G BPU ATRR'!$A$1:$P$166</definedName>
    <definedName name="_xlnm.Print_Area" localSheetId="55">'SWT WS M - Cost of Capital'!$A$1:$L$118</definedName>
    <definedName name="_xlnm.Print_Area" localSheetId="44">'SWTCO WS C-5-A Remeasurement'!$A$1:$L$42</definedName>
    <definedName name="_xlnm.Print_Area" localSheetId="45">'SWTCO WS C-5-B Remeasurement'!$A$1:$L$53</definedName>
    <definedName name="_xlnm.Print_Titles" localSheetId="2">'OKT Sch 11 Rates'!$2:$16</definedName>
    <definedName name="_xlnm.Print_Titles" localSheetId="14">'OKT WS C-5 Excess ADIT'!$1:$11</definedName>
    <definedName name="_xlnm.Print_Titles" localSheetId="3">'SWT Sch 11 Rates'!$2:$16</definedName>
    <definedName name="_xlnm.Print_Titles" localSheetId="43">'SWT WS C-5 Excess ADIT'!$1:$11</definedName>
    <definedName name="Z_3768C7C8_9953_11DA_B318_000FB55D51DC_.wvu.PrintArea" localSheetId="17" hidden="1">'OKT WS D Working Capital'!$A$9:$Q$54</definedName>
    <definedName name="Z_3768C7C8_9953_11DA_B318_000FB55D51DC_.wvu.PrintArea" localSheetId="31" hidden="1">'OKT WS R Unfunded Reserves'!#REF!</definedName>
    <definedName name="Z_3768C7C8_9953_11DA_B318_000FB55D51DC_.wvu.PrintArea" localSheetId="32" hidden="1">'OKT WS S Reg Assets'!#REF!</definedName>
    <definedName name="Z_3768C7C8_9953_11DA_B318_000FB55D51DC_.wvu.PrintArea" localSheetId="46" hidden="1">'SWT WS D Working Capital'!$A$9:$Q$53</definedName>
    <definedName name="Z_3768C7C8_9953_11DA_B318_000FB55D51DC_.wvu.PrintArea" localSheetId="60" hidden="1">'SWT WS R Unfunded Reserves'!#REF!</definedName>
    <definedName name="Z_3768C7C8_9953_11DA_B318_000FB55D51DC_.wvu.PrintArea" localSheetId="61" hidden="1">'SWT WS S Reg Assets'!#REF!</definedName>
    <definedName name="Z_3768C7C8_9953_11DA_B318_000FB55D51DC_.wvu.PrintTitles" localSheetId="17" hidden="1">'OKT WS D Working Capital'!#REF!</definedName>
    <definedName name="Z_3768C7C8_9953_11DA_B318_000FB55D51DC_.wvu.PrintTitles" localSheetId="31" hidden="1">'OKT WS R Unfunded Reserves'!#REF!</definedName>
    <definedName name="Z_3768C7C8_9953_11DA_B318_000FB55D51DC_.wvu.PrintTitles" localSheetId="32" hidden="1">'OKT WS S Reg Assets'!#REF!</definedName>
    <definedName name="Z_3768C7C8_9953_11DA_B318_000FB55D51DC_.wvu.PrintTitles" localSheetId="46" hidden="1">'SWT WS D Working Capital'!#REF!</definedName>
    <definedName name="Z_3768C7C8_9953_11DA_B318_000FB55D51DC_.wvu.PrintTitles" localSheetId="60" hidden="1">'SWT WS R Unfunded Reserves'!#REF!</definedName>
    <definedName name="Z_3768C7C8_9953_11DA_B318_000FB55D51DC_.wvu.PrintTitles" localSheetId="61" hidden="1">'SWT WS S Reg Assets'!#REF!</definedName>
    <definedName name="Z_3768C7C8_9953_11DA_B318_000FB55D51DC_.wvu.Rows" localSheetId="17" hidden="1">'OKT WS D Working Capital'!#REF!</definedName>
    <definedName name="Z_3768C7C8_9953_11DA_B318_000FB55D51DC_.wvu.Rows" localSheetId="31" hidden="1">'OKT WS R Unfunded Reserves'!#REF!</definedName>
    <definedName name="Z_3768C7C8_9953_11DA_B318_000FB55D51DC_.wvu.Rows" localSheetId="32" hidden="1">'OKT WS S Reg Assets'!#REF!</definedName>
    <definedName name="Z_3768C7C8_9953_11DA_B318_000FB55D51DC_.wvu.Rows" localSheetId="46" hidden="1">'SWT WS D Working Capital'!#REF!</definedName>
    <definedName name="Z_3768C7C8_9953_11DA_B318_000FB55D51DC_.wvu.Rows" localSheetId="60" hidden="1">'SWT WS R Unfunded Reserves'!#REF!</definedName>
    <definedName name="Z_3768C7C8_9953_11DA_B318_000FB55D51DC_.wvu.Rows" localSheetId="61" hidden="1">'SWT WS S Reg Assets'!#REF!</definedName>
    <definedName name="Z_3BDD6235_B127_4929_8311_BDAF7BB89818_.wvu.PrintArea" localSheetId="17" hidden="1">'OKT WS D Working Capital'!$A$9:$Q$54</definedName>
    <definedName name="Z_3BDD6235_B127_4929_8311_BDAF7BB89818_.wvu.PrintArea" localSheetId="31" hidden="1">'OKT WS R Unfunded Reserves'!#REF!</definedName>
    <definedName name="Z_3BDD6235_B127_4929_8311_BDAF7BB89818_.wvu.PrintArea" localSheetId="32" hidden="1">'OKT WS S Reg Assets'!#REF!</definedName>
    <definedName name="Z_3BDD6235_B127_4929_8311_BDAF7BB89818_.wvu.PrintArea" localSheetId="46" hidden="1">'SWT WS D Working Capital'!$A$9:$Q$53</definedName>
    <definedName name="Z_3BDD6235_B127_4929_8311_BDAF7BB89818_.wvu.PrintArea" localSheetId="60" hidden="1">'SWT WS R Unfunded Reserves'!#REF!</definedName>
    <definedName name="Z_3BDD6235_B127_4929_8311_BDAF7BB89818_.wvu.PrintArea" localSheetId="61" hidden="1">'SWT WS S Reg Assets'!#REF!</definedName>
    <definedName name="Z_3BDD6235_B127_4929_8311_BDAF7BB89818_.wvu.PrintTitles" localSheetId="17" hidden="1">'OKT WS D Working Capital'!#REF!</definedName>
    <definedName name="Z_3BDD6235_B127_4929_8311_BDAF7BB89818_.wvu.PrintTitles" localSheetId="31" hidden="1">'OKT WS R Unfunded Reserves'!#REF!</definedName>
    <definedName name="Z_3BDD6235_B127_4929_8311_BDAF7BB89818_.wvu.PrintTitles" localSheetId="32" hidden="1">'OKT WS S Reg Assets'!#REF!</definedName>
    <definedName name="Z_3BDD6235_B127_4929_8311_BDAF7BB89818_.wvu.PrintTitles" localSheetId="46" hidden="1">'SWT WS D Working Capital'!#REF!</definedName>
    <definedName name="Z_3BDD6235_B127_4929_8311_BDAF7BB89818_.wvu.PrintTitles" localSheetId="60" hidden="1">'SWT WS R Unfunded Reserves'!#REF!</definedName>
    <definedName name="Z_3BDD6235_B127_4929_8311_BDAF7BB89818_.wvu.PrintTitles" localSheetId="61" hidden="1">'SWT WS S Reg Assets'!#REF!</definedName>
    <definedName name="Z_3BDD6235_B127_4929_8311_BDAF7BB89818_.wvu.Rows" localSheetId="17" hidden="1">'OKT WS D Working Capital'!#REF!</definedName>
    <definedName name="Z_3BDD6235_B127_4929_8311_BDAF7BB89818_.wvu.Rows" localSheetId="31" hidden="1">'OKT WS R Unfunded Reserves'!#REF!</definedName>
    <definedName name="Z_3BDD6235_B127_4929_8311_BDAF7BB89818_.wvu.Rows" localSheetId="32" hidden="1">'OKT WS S Reg Assets'!#REF!</definedName>
    <definedName name="Z_3BDD6235_B127_4929_8311_BDAF7BB89818_.wvu.Rows" localSheetId="46" hidden="1">'SWT WS D Working Capital'!#REF!</definedName>
    <definedName name="Z_3BDD6235_B127_4929_8311_BDAF7BB89818_.wvu.Rows" localSheetId="60" hidden="1">'SWT WS R Unfunded Reserves'!#REF!</definedName>
    <definedName name="Z_3BDD6235_B127_4929_8311_BDAF7BB89818_.wvu.Rows" localSheetId="61" hidden="1">'SWT WS S Reg Assets'!#REF!</definedName>
    <definedName name="Z_B0241363_5C8A_48FC_89A6_56D55586BABE_.wvu.PrintArea" localSheetId="17" hidden="1">'OKT WS D Working Capital'!$A$9:$Q$54</definedName>
    <definedName name="Z_B0241363_5C8A_48FC_89A6_56D55586BABE_.wvu.PrintArea" localSheetId="31" hidden="1">'OKT WS R Unfunded Reserves'!#REF!</definedName>
    <definedName name="Z_B0241363_5C8A_48FC_89A6_56D55586BABE_.wvu.PrintArea" localSheetId="32" hidden="1">'OKT WS S Reg Assets'!#REF!</definedName>
    <definedName name="Z_B0241363_5C8A_48FC_89A6_56D55586BABE_.wvu.PrintArea" localSheetId="46" hidden="1">'SWT WS D Working Capital'!$A$9:$Q$53</definedName>
    <definedName name="Z_B0241363_5C8A_48FC_89A6_56D55586BABE_.wvu.PrintArea" localSheetId="60" hidden="1">'SWT WS R Unfunded Reserves'!#REF!</definedName>
    <definedName name="Z_B0241363_5C8A_48FC_89A6_56D55586BABE_.wvu.PrintArea" localSheetId="61" hidden="1">'SWT WS S Reg Assets'!#REF!</definedName>
    <definedName name="Z_B0241363_5C8A_48FC_89A6_56D55586BABE_.wvu.PrintTitles" localSheetId="17" hidden="1">'OKT WS D Working Capital'!#REF!</definedName>
    <definedName name="Z_B0241363_5C8A_48FC_89A6_56D55586BABE_.wvu.PrintTitles" localSheetId="31" hidden="1">'OKT WS R Unfunded Reserves'!#REF!</definedName>
    <definedName name="Z_B0241363_5C8A_48FC_89A6_56D55586BABE_.wvu.PrintTitles" localSheetId="32" hidden="1">'OKT WS S Reg Assets'!#REF!</definedName>
    <definedName name="Z_B0241363_5C8A_48FC_89A6_56D55586BABE_.wvu.PrintTitles" localSheetId="46" hidden="1">'SWT WS D Working Capital'!#REF!</definedName>
    <definedName name="Z_B0241363_5C8A_48FC_89A6_56D55586BABE_.wvu.PrintTitles" localSheetId="60" hidden="1">'SWT WS R Unfunded Reserves'!#REF!</definedName>
    <definedName name="Z_B0241363_5C8A_48FC_89A6_56D55586BABE_.wvu.PrintTitles" localSheetId="61" hidden="1">'SWT WS S Reg Assets'!#REF!</definedName>
    <definedName name="Z_B0241363_5C8A_48FC_89A6_56D55586BABE_.wvu.Rows" localSheetId="17" hidden="1">'OKT WS D Working Capital'!#REF!</definedName>
    <definedName name="Z_B0241363_5C8A_48FC_89A6_56D55586BABE_.wvu.Rows" localSheetId="31" hidden="1">'OKT WS R Unfunded Reserves'!#REF!</definedName>
    <definedName name="Z_B0241363_5C8A_48FC_89A6_56D55586BABE_.wvu.Rows" localSheetId="32" hidden="1">'OKT WS S Reg Assets'!#REF!</definedName>
    <definedName name="Z_B0241363_5C8A_48FC_89A6_56D55586BABE_.wvu.Rows" localSheetId="46" hidden="1">'SWT WS D Working Capital'!#REF!</definedName>
    <definedName name="Z_B0241363_5C8A_48FC_89A6_56D55586BABE_.wvu.Rows" localSheetId="60" hidden="1">'SWT WS R Unfunded Reserves'!#REF!</definedName>
    <definedName name="Z_B0241363_5C8A_48FC_89A6_56D55586BABE_.wvu.Rows" localSheetId="61" hidden="1">'SWT WS S Reg Assets'!#REF!</definedName>
    <definedName name="Z_C0EA0F9F_7310_4201_82C9_7B8FC8DB9137_.wvu.PrintArea" localSheetId="17" hidden="1">'OKT WS D Working Capital'!$A$9:$Q$54</definedName>
    <definedName name="Z_C0EA0F9F_7310_4201_82C9_7B8FC8DB9137_.wvu.PrintArea" localSheetId="31" hidden="1">'OKT WS R Unfunded Reserves'!#REF!</definedName>
    <definedName name="Z_C0EA0F9F_7310_4201_82C9_7B8FC8DB9137_.wvu.PrintArea" localSheetId="32" hidden="1">'OKT WS S Reg Assets'!#REF!</definedName>
    <definedName name="Z_C0EA0F9F_7310_4201_82C9_7B8FC8DB9137_.wvu.PrintArea" localSheetId="46" hidden="1">'SWT WS D Working Capital'!$A$9:$Q$53</definedName>
    <definedName name="Z_C0EA0F9F_7310_4201_82C9_7B8FC8DB9137_.wvu.PrintArea" localSheetId="60" hidden="1">'SWT WS R Unfunded Reserves'!#REF!</definedName>
    <definedName name="Z_C0EA0F9F_7310_4201_82C9_7B8FC8DB9137_.wvu.PrintArea" localSheetId="61" hidden="1">'SWT WS S Reg Assets'!#REF!</definedName>
    <definedName name="Z_C0EA0F9F_7310_4201_82C9_7B8FC8DB9137_.wvu.PrintTitles" localSheetId="17" hidden="1">'OKT WS D Working Capital'!#REF!</definedName>
    <definedName name="Z_C0EA0F9F_7310_4201_82C9_7B8FC8DB9137_.wvu.PrintTitles" localSheetId="31" hidden="1">'OKT WS R Unfunded Reserves'!#REF!</definedName>
    <definedName name="Z_C0EA0F9F_7310_4201_82C9_7B8FC8DB9137_.wvu.PrintTitles" localSheetId="32" hidden="1">'OKT WS S Reg Assets'!#REF!</definedName>
    <definedName name="Z_C0EA0F9F_7310_4201_82C9_7B8FC8DB9137_.wvu.PrintTitles" localSheetId="46" hidden="1">'SWT WS D Working Capital'!#REF!</definedName>
    <definedName name="Z_C0EA0F9F_7310_4201_82C9_7B8FC8DB9137_.wvu.PrintTitles" localSheetId="60" hidden="1">'SWT WS R Unfunded Reserves'!#REF!</definedName>
    <definedName name="Z_C0EA0F9F_7310_4201_82C9_7B8FC8DB9137_.wvu.PrintTitles" localSheetId="61" hidden="1">'SWT WS S Reg Assets'!#REF!</definedName>
    <definedName name="Z_C0EA0F9F_7310_4201_82C9_7B8FC8DB9137_.wvu.Rows" localSheetId="17" hidden="1">'OKT WS D Working Capital'!#REF!</definedName>
    <definedName name="Z_C0EA0F9F_7310_4201_82C9_7B8FC8DB9137_.wvu.Rows" localSheetId="31" hidden="1">'OKT WS R Unfunded Reserves'!#REF!</definedName>
    <definedName name="Z_C0EA0F9F_7310_4201_82C9_7B8FC8DB9137_.wvu.Rows" localSheetId="32" hidden="1">'OKT WS S Reg Assets'!#REF!</definedName>
    <definedName name="Z_C0EA0F9F_7310_4201_82C9_7B8FC8DB9137_.wvu.Rows" localSheetId="46" hidden="1">'SWT WS D Working Capital'!#REF!</definedName>
    <definedName name="Z_C0EA0F9F_7310_4201_82C9_7B8FC8DB9137_.wvu.Rows" localSheetId="60" hidden="1">'SWT WS R Unfunded Reserves'!#REF!</definedName>
    <definedName name="Z_C0EA0F9F_7310_4201_82C9_7B8FC8DB9137_.wvu.Rows" localSheetId="61" hidden="1">'SWT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139" l="1"/>
  <c r="M57" i="139"/>
  <c r="K57" i="139"/>
  <c r="J57" i="139"/>
  <c r="N57" i="90"/>
  <c r="M57" i="90"/>
  <c r="K57" i="90"/>
  <c r="J57" i="90"/>
  <c r="L45" i="210"/>
  <c r="M45" i="210"/>
  <c r="N45" i="210"/>
  <c r="L37" i="139"/>
  <c r="H46" i="209" l="1"/>
  <c r="H29" i="209" l="1"/>
  <c r="H58" i="139" l="1"/>
  <c r="L57" i="139"/>
  <c r="H27" i="139"/>
  <c r="C44" i="186" l="1"/>
  <c r="G20" i="78" l="1"/>
  <c r="B3" i="153" l="1"/>
  <c r="J25" i="210" l="1"/>
  <c r="N25" i="209"/>
  <c r="M25" i="209"/>
  <c r="L25" i="209"/>
  <c r="K25" i="209"/>
  <c r="J25" i="209"/>
  <c r="H29" i="210" l="1"/>
  <c r="H46" i="210" l="1"/>
  <c r="J45" i="210"/>
  <c r="H36" i="210"/>
  <c r="D33" i="208" s="1"/>
  <c r="J28" i="210"/>
  <c r="H27" i="90"/>
  <c r="H58" i="90" l="1"/>
  <c r="L57" i="90"/>
  <c r="J26" i="90"/>
  <c r="K10" i="90" l="1"/>
  <c r="L10" i="90"/>
  <c r="M10" i="90"/>
  <c r="N10" i="90"/>
  <c r="N26" i="74" l="1"/>
  <c r="M26" i="74"/>
  <c r="P26" i="74" l="1"/>
  <c r="D26" i="74" s="1"/>
  <c r="I26" i="74" s="1"/>
  <c r="H62" i="239" l="1"/>
  <c r="D51" i="239"/>
  <c r="D43" i="239"/>
  <c r="D42" i="239"/>
  <c r="D37" i="239"/>
  <c r="D49" i="239" s="1"/>
  <c r="D50" i="239" s="1"/>
  <c r="D36" i="239"/>
  <c r="D29" i="239"/>
  <c r="D30" i="239" s="1"/>
  <c r="D24" i="239"/>
  <c r="D26" i="239" s="1"/>
  <c r="D19" i="239"/>
  <c r="D31" i="239" s="1"/>
  <c r="D18" i="239"/>
  <c r="A16" i="239"/>
  <c r="A17" i="239" s="1"/>
  <c r="A18" i="239" s="1"/>
  <c r="A19" i="239" s="1"/>
  <c r="A20" i="239" s="1"/>
  <c r="A21" i="239" s="1"/>
  <c r="A22" i="239" s="1"/>
  <c r="A23" i="239" s="1"/>
  <c r="A24" i="239" s="1"/>
  <c r="A25" i="239" s="1"/>
  <c r="A26" i="239" s="1"/>
  <c r="A27" i="239" s="1"/>
  <c r="A28" i="239" s="1"/>
  <c r="A29" i="239" s="1"/>
  <c r="A30" i="239" s="1"/>
  <c r="A31" i="239" s="1"/>
  <c r="A32" i="239" s="1"/>
  <c r="A33" i="239" s="1"/>
  <c r="A34" i="239" s="1"/>
  <c r="A35" i="239" s="1"/>
  <c r="A36" i="239" s="1"/>
  <c r="A37" i="239" s="1"/>
  <c r="A38" i="239" s="1"/>
  <c r="A39" i="239" s="1"/>
  <c r="A40" i="239" s="1"/>
  <c r="A41" i="239" s="1"/>
  <c r="A42" i="239" s="1"/>
  <c r="A43" i="239" s="1"/>
  <c r="A44" i="239" s="1"/>
  <c r="A45" i="239" s="1"/>
  <c r="A46" i="239" s="1"/>
  <c r="A47" i="239" s="1"/>
  <c r="A48" i="239" s="1"/>
  <c r="A49" i="239" s="1"/>
  <c r="A50" i="239" s="1"/>
  <c r="A51" i="239" s="1"/>
  <c r="A52" i="239" s="1"/>
  <c r="A53" i="239" s="1"/>
  <c r="A54" i="239" s="1"/>
  <c r="A55" i="239" s="1"/>
  <c r="A56" i="239" s="1"/>
  <c r="A57" i="239" s="1"/>
  <c r="A58" i="239" s="1"/>
  <c r="A59" i="239" s="1"/>
  <c r="A60" i="239" s="1"/>
  <c r="A61" i="239" s="1"/>
  <c r="A62" i="239" s="1"/>
  <c r="P30" i="234"/>
  <c r="H36" i="238"/>
  <c r="D24" i="238"/>
  <c r="D26" i="238" s="1"/>
  <c r="D28" i="238" s="1"/>
  <c r="D17" i="238"/>
  <c r="D18" i="238" s="1"/>
  <c r="D20" i="238" s="1"/>
  <c r="A16" i="238"/>
  <c r="A17" i="238" s="1"/>
  <c r="A18" i="238" s="1"/>
  <c r="A19" i="238" s="1"/>
  <c r="A20" i="238" s="1"/>
  <c r="A21" i="238" s="1"/>
  <c r="A22" i="238" s="1"/>
  <c r="A23" i="238" s="1"/>
  <c r="A24" i="238" s="1"/>
  <c r="A25" i="238" s="1"/>
  <c r="A26" i="238" s="1"/>
  <c r="A27" i="238" s="1"/>
  <c r="A28" i="238" s="1"/>
  <c r="A29" i="238" s="1"/>
  <c r="A30" i="238" s="1"/>
  <c r="A31" i="238" s="1"/>
  <c r="A32" i="238" s="1"/>
  <c r="A33" i="238" s="1"/>
  <c r="A34" i="238" s="1"/>
  <c r="A35" i="238" s="1"/>
  <c r="A36" i="238" s="1"/>
  <c r="P23" i="234" l="1"/>
  <c r="D31" i="238"/>
  <c r="F31" i="238" s="1"/>
  <c r="D20" i="239"/>
  <c r="D52" i="239"/>
  <c r="P28" i="234"/>
  <c r="D38" i="239"/>
  <c r="D40" i="239" s="1"/>
  <c r="D44" i="239"/>
  <c r="D46" i="239" s="1"/>
  <c r="D57" i="239" s="1"/>
  <c r="F57" i="239" s="1"/>
  <c r="J57" i="239" s="1"/>
  <c r="L57" i="239" s="1"/>
  <c r="Q22" i="234"/>
  <c r="P29" i="234"/>
  <c r="D32" i="239"/>
  <c r="Q21" i="234"/>
  <c r="P20" i="234"/>
  <c r="D36" i="238"/>
  <c r="D32" i="238" l="1"/>
  <c r="F32" i="238" s="1"/>
  <c r="G32" i="238" s="1"/>
  <c r="D56" i="239"/>
  <c r="D62" i="239"/>
  <c r="D55" i="239"/>
  <c r="F55" i="239" s="1"/>
  <c r="G57" i="239"/>
  <c r="J31" i="238"/>
  <c r="G31" i="238"/>
  <c r="J32" i="238" l="1"/>
  <c r="L32" i="238" s="1"/>
  <c r="D33" i="238"/>
  <c r="F36" i="238"/>
  <c r="D58" i="239"/>
  <c r="D59" i="239" s="1"/>
  <c r="F59" i="239" s="1"/>
  <c r="G55" i="239"/>
  <c r="J55" i="239"/>
  <c r="L31" i="238"/>
  <c r="L36" i="238" l="1"/>
  <c r="J36" i="238"/>
  <c r="D60" i="239"/>
  <c r="L55" i="239"/>
  <c r="F62" i="239"/>
  <c r="G59" i="239"/>
  <c r="J59" i="239"/>
  <c r="L59" i="239" s="1"/>
  <c r="L62" i="239" l="1"/>
  <c r="J62" i="239"/>
  <c r="N46" i="210" l="1"/>
  <c r="M46" i="210"/>
  <c r="L46" i="210"/>
  <c r="K46" i="210"/>
  <c r="N29" i="210"/>
  <c r="M29" i="210"/>
  <c r="L29" i="210"/>
  <c r="K29" i="210"/>
  <c r="N28" i="210"/>
  <c r="M28" i="210"/>
  <c r="L28" i="210"/>
  <c r="K46" i="209"/>
  <c r="L46" i="209"/>
  <c r="M46" i="209"/>
  <c r="N46" i="209"/>
  <c r="L45" i="209"/>
  <c r="M45" i="209"/>
  <c r="N45" i="209"/>
  <c r="N29" i="209"/>
  <c r="M29" i="209"/>
  <c r="L29" i="209"/>
  <c r="K29" i="209"/>
  <c r="L28" i="209"/>
  <c r="M28" i="209"/>
  <c r="N28" i="209"/>
  <c r="J29" i="209"/>
  <c r="N58" i="90"/>
  <c r="M58" i="90"/>
  <c r="L58" i="90"/>
  <c r="K58" i="90"/>
  <c r="N27" i="90"/>
  <c r="M27" i="90"/>
  <c r="L27" i="90"/>
  <c r="K27" i="90"/>
  <c r="K58" i="139"/>
  <c r="J29" i="210" l="1"/>
  <c r="J28" i="209"/>
  <c r="J27" i="90"/>
  <c r="J26" i="139"/>
  <c r="J46" i="209" l="1"/>
  <c r="J58" i="139"/>
  <c r="J45" i="209" l="1"/>
  <c r="J46" i="210"/>
  <c r="J58" i="90"/>
  <c r="P29" i="236" l="1"/>
  <c r="P23" i="236" l="1"/>
  <c r="Q22" i="236"/>
  <c r="Q21" i="236"/>
  <c r="P20" i="236"/>
  <c r="O32" i="236" l="1"/>
  <c r="N32" i="236"/>
  <c r="F39" i="236" s="1"/>
  <c r="F44" i="236" s="1"/>
  <c r="L32" i="236"/>
  <c r="K32" i="236"/>
  <c r="J32" i="236"/>
  <c r="I32" i="236"/>
  <c r="F32" i="236"/>
  <c r="B32" i="236"/>
  <c r="P28" i="236"/>
  <c r="M32" i="236"/>
  <c r="P27" i="236"/>
  <c r="P19" i="236"/>
  <c r="Q18" i="236"/>
  <c r="P17" i="236"/>
  <c r="P16" i="236"/>
  <c r="Q15" i="236"/>
  <c r="Q14" i="236"/>
  <c r="P13" i="236"/>
  <c r="F28" i="235"/>
  <c r="D26" i="235"/>
  <c r="G26" i="235" s="1"/>
  <c r="J21" i="235"/>
  <c r="J20" i="235"/>
  <c r="G19" i="235"/>
  <c r="H17" i="235"/>
  <c r="J17" i="235" s="1"/>
  <c r="D17" i="235"/>
  <c r="A16" i="235"/>
  <c r="A17" i="235" s="1"/>
  <c r="A19" i="235" s="1"/>
  <c r="A20" i="235" s="1"/>
  <c r="A21" i="235" s="1"/>
  <c r="A24" i="235" s="1"/>
  <c r="A25" i="235" s="1"/>
  <c r="A26" i="235" s="1"/>
  <c r="A28" i="235" s="1"/>
  <c r="L20" i="235" l="1"/>
  <c r="H26" i="235"/>
  <c r="J26" i="235" s="1"/>
  <c r="J28" i="235" s="1"/>
  <c r="L17" i="235"/>
  <c r="D28" i="235"/>
  <c r="Q32" i="236"/>
  <c r="P32" i="236"/>
  <c r="G17" i="235"/>
  <c r="L26" i="235" l="1"/>
  <c r="L28" i="235" s="1"/>
  <c r="H28" i="235"/>
  <c r="B68" i="234"/>
  <c r="O32" i="234"/>
  <c r="N32" i="234"/>
  <c r="F38" i="234" s="1"/>
  <c r="F43" i="234" s="1"/>
  <c r="L32" i="234"/>
  <c r="K32" i="234"/>
  <c r="J32" i="234"/>
  <c r="I32" i="234"/>
  <c r="F32" i="234"/>
  <c r="B32" i="234"/>
  <c r="M32" i="234"/>
  <c r="P27" i="234"/>
  <c r="P19" i="234"/>
  <c r="Q18" i="234"/>
  <c r="P17" i="234"/>
  <c r="P16" i="234"/>
  <c r="Q15" i="234"/>
  <c r="Q14" i="234"/>
  <c r="P13" i="234"/>
  <c r="Q32" i="234" l="1"/>
  <c r="P32" i="234"/>
  <c r="G23" i="233" l="1"/>
  <c r="D22" i="233"/>
  <c r="D23" i="233" s="1"/>
  <c r="J19" i="233"/>
  <c r="F18" i="233"/>
  <c r="J18" i="233" s="1"/>
  <c r="A17" i="233"/>
  <c r="A18" i="233" s="1"/>
  <c r="A19" i="233" s="1"/>
  <c r="A21" i="233" s="1"/>
  <c r="A22" i="233" s="1"/>
  <c r="A23" i="233" s="1"/>
  <c r="A25" i="233" s="1"/>
  <c r="L18" i="233" l="1"/>
  <c r="G17" i="233"/>
  <c r="G15" i="233"/>
  <c r="D25" i="233"/>
  <c r="F25" i="233"/>
  <c r="H15" i="233"/>
  <c r="J15" i="233" s="1"/>
  <c r="L15" i="233" l="1"/>
  <c r="H23" i="233"/>
  <c r="J23" i="233" s="1"/>
  <c r="L23" i="233" s="1"/>
  <c r="H25" i="233" l="1"/>
  <c r="J25" i="233"/>
  <c r="L25" i="233"/>
  <c r="N36" i="139" l="1"/>
  <c r="M36" i="139"/>
  <c r="L36" i="139"/>
  <c r="K36" i="139"/>
  <c r="N23" i="139"/>
  <c r="M23" i="139"/>
  <c r="L23" i="139"/>
  <c r="J23" i="139"/>
  <c r="N22" i="139"/>
  <c r="M22" i="139"/>
  <c r="L22" i="139"/>
  <c r="J22" i="139"/>
  <c r="M21" i="139"/>
  <c r="L21" i="139"/>
  <c r="K21" i="139"/>
  <c r="J21" i="139"/>
  <c r="J20" i="139"/>
  <c r="K20" i="139"/>
  <c r="L20" i="139"/>
  <c r="M20" i="139"/>
  <c r="E39" i="180" l="1"/>
  <c r="E39" i="226"/>
  <c r="G21" i="221" l="1"/>
  <c r="J44" i="210" l="1"/>
  <c r="J44" i="209"/>
  <c r="J33" i="210"/>
  <c r="J26" i="210"/>
  <c r="G24" i="212"/>
  <c r="N33" i="210"/>
  <c r="M33" i="210"/>
  <c r="L33" i="210"/>
  <c r="K33" i="210"/>
  <c r="N26" i="210"/>
  <c r="M26" i="210"/>
  <c r="L26" i="210"/>
  <c r="K26" i="210"/>
  <c r="J33" i="209"/>
  <c r="K33" i="209"/>
  <c r="L33" i="209"/>
  <c r="M33" i="209"/>
  <c r="N33" i="209"/>
  <c r="K22" i="209"/>
  <c r="L22" i="209"/>
  <c r="M22" i="209"/>
  <c r="N22" i="209"/>
  <c r="K23" i="209"/>
  <c r="L23" i="209"/>
  <c r="M23" i="209"/>
  <c r="N23" i="209"/>
  <c r="K24" i="209"/>
  <c r="L24" i="209"/>
  <c r="M24" i="209"/>
  <c r="N24" i="209"/>
  <c r="K26" i="209"/>
  <c r="L26" i="209"/>
  <c r="M26" i="209"/>
  <c r="N26" i="209"/>
  <c r="J22" i="209"/>
  <c r="J23" i="209"/>
  <c r="J24" i="209"/>
  <c r="J26" i="209"/>
  <c r="H36" i="209" l="1"/>
  <c r="N52" i="210"/>
  <c r="M52" i="210"/>
  <c r="L52" i="210"/>
  <c r="K52" i="210"/>
  <c r="J52" i="210"/>
  <c r="N51" i="210"/>
  <c r="M51" i="210"/>
  <c r="L51" i="210"/>
  <c r="K51" i="210"/>
  <c r="J51" i="210"/>
  <c r="N50" i="210"/>
  <c r="M50" i="210"/>
  <c r="L50" i="210"/>
  <c r="K50" i="210"/>
  <c r="J50" i="210"/>
  <c r="N49" i="210"/>
  <c r="M49" i="210"/>
  <c r="L49" i="210"/>
  <c r="K49" i="210"/>
  <c r="J49" i="210"/>
  <c r="N48" i="210"/>
  <c r="M48" i="210"/>
  <c r="L48" i="210"/>
  <c r="K48" i="210"/>
  <c r="J48" i="210"/>
  <c r="N43" i="210"/>
  <c r="M43" i="210"/>
  <c r="L43" i="210"/>
  <c r="J43" i="210"/>
  <c r="K43" i="210"/>
  <c r="J42" i="210"/>
  <c r="N41" i="210"/>
  <c r="M41" i="210"/>
  <c r="L41" i="210"/>
  <c r="K41" i="210"/>
  <c r="J41" i="210"/>
  <c r="N40" i="210"/>
  <c r="M40" i="210"/>
  <c r="L40" i="210"/>
  <c r="K40" i="210"/>
  <c r="N35" i="210"/>
  <c r="M35" i="210"/>
  <c r="L35" i="210"/>
  <c r="J35" i="210"/>
  <c r="N32" i="210"/>
  <c r="M32" i="210"/>
  <c r="L32" i="210"/>
  <c r="J32" i="210"/>
  <c r="K32" i="210"/>
  <c r="N27" i="210"/>
  <c r="M27" i="210"/>
  <c r="L27" i="210"/>
  <c r="J24" i="210"/>
  <c r="J23" i="210"/>
  <c r="N22" i="210"/>
  <c r="M22" i="210"/>
  <c r="L22" i="210"/>
  <c r="K22" i="210"/>
  <c r="J22" i="210"/>
  <c r="N21" i="210"/>
  <c r="M21" i="210"/>
  <c r="L21" i="210"/>
  <c r="K21" i="210"/>
  <c r="N16" i="210"/>
  <c r="M16" i="210"/>
  <c r="L16" i="210"/>
  <c r="K16" i="210"/>
  <c r="J16" i="210"/>
  <c r="N13" i="210"/>
  <c r="M13" i="210"/>
  <c r="L13" i="210"/>
  <c r="K13" i="210"/>
  <c r="J13" i="210"/>
  <c r="N12" i="210"/>
  <c r="M12" i="210"/>
  <c r="L12" i="210"/>
  <c r="J12" i="210"/>
  <c r="K12" i="210"/>
  <c r="N11" i="210"/>
  <c r="M11" i="210"/>
  <c r="L11" i="210"/>
  <c r="J11" i="210"/>
  <c r="H17" i="210"/>
  <c r="D20" i="208" s="1"/>
  <c r="N54" i="210" l="1"/>
  <c r="I45" i="208" s="1"/>
  <c r="J21" i="210"/>
  <c r="L36" i="210"/>
  <c r="G33" i="208" s="1"/>
  <c r="L54" i="210"/>
  <c r="G45" i="208" s="1"/>
  <c r="M36" i="210"/>
  <c r="H33" i="208" s="1"/>
  <c r="H54" i="210"/>
  <c r="D45" i="208" s="1"/>
  <c r="N36" i="210"/>
  <c r="I33" i="208" s="1"/>
  <c r="K54" i="210"/>
  <c r="F45" i="208" s="1"/>
  <c r="M54" i="210"/>
  <c r="H45" i="208" s="1"/>
  <c r="L17" i="210"/>
  <c r="G20" i="208" s="1"/>
  <c r="M17" i="210"/>
  <c r="H20" i="208" s="1"/>
  <c r="N17" i="210"/>
  <c r="I20" i="208" s="1"/>
  <c r="J40" i="210"/>
  <c r="J54" i="210" s="1"/>
  <c r="K11" i="210"/>
  <c r="E45" i="208" l="1"/>
  <c r="P54" i="210"/>
  <c r="M46" i="96"/>
  <c r="E42" i="193"/>
  <c r="G20" i="193"/>
  <c r="K49" i="90"/>
  <c r="L49" i="90"/>
  <c r="M49" i="90"/>
  <c r="N49" i="90"/>
  <c r="K50" i="90"/>
  <c r="L50" i="90"/>
  <c r="M50" i="90"/>
  <c r="N50" i="90"/>
  <c r="K51" i="90"/>
  <c r="L51" i="90"/>
  <c r="M51" i="90"/>
  <c r="N51" i="90"/>
  <c r="J52" i="90"/>
  <c r="K52" i="90"/>
  <c r="L52" i="90"/>
  <c r="M52" i="90"/>
  <c r="K53" i="90"/>
  <c r="L53" i="90"/>
  <c r="M53" i="90"/>
  <c r="N53" i="90"/>
  <c r="K54" i="90"/>
  <c r="L54" i="90"/>
  <c r="M54" i="90"/>
  <c r="N54" i="90"/>
  <c r="J55" i="90"/>
  <c r="L55" i="90"/>
  <c r="M55" i="90"/>
  <c r="N55" i="90"/>
  <c r="J56" i="90"/>
  <c r="L56" i="90"/>
  <c r="M56" i="90"/>
  <c r="N56" i="90"/>
  <c r="J59" i="90"/>
  <c r="K59" i="90"/>
  <c r="L59" i="90"/>
  <c r="M59" i="90"/>
  <c r="N59" i="90"/>
  <c r="J49" i="90"/>
  <c r="J50" i="90"/>
  <c r="J51" i="90"/>
  <c r="N52" i="90"/>
  <c r="J53" i="90"/>
  <c r="J54" i="90"/>
  <c r="K55" i="90"/>
  <c r="K56" i="90"/>
  <c r="K41" i="90"/>
  <c r="L41" i="90"/>
  <c r="M41" i="90"/>
  <c r="N41" i="90"/>
  <c r="J41" i="90"/>
  <c r="J21" i="90"/>
  <c r="K21" i="90"/>
  <c r="L21" i="90"/>
  <c r="M21" i="90"/>
  <c r="K36" i="90"/>
  <c r="L36" i="90"/>
  <c r="M36" i="90"/>
  <c r="N36" i="90"/>
  <c r="J36" i="90"/>
  <c r="N21" i="90"/>
  <c r="F24" i="193"/>
  <c r="J36" i="139"/>
  <c r="N20" i="139"/>
  <c r="N21" i="139"/>
  <c r="K22" i="139"/>
  <c r="K23" i="139"/>
  <c r="F25" i="193" l="1"/>
  <c r="F20" i="193"/>
  <c r="F22" i="193" s="1"/>
  <c r="N62" i="90"/>
  <c r="M62" i="90"/>
  <c r="L62" i="90"/>
  <c r="K62" i="90"/>
  <c r="J62" i="90"/>
  <c r="N61" i="90"/>
  <c r="M61" i="90"/>
  <c r="L61" i="90"/>
  <c r="K61" i="90"/>
  <c r="J61" i="90"/>
  <c r="N60" i="90"/>
  <c r="M60" i="90"/>
  <c r="L60" i="90"/>
  <c r="K60" i="90"/>
  <c r="J60" i="90"/>
  <c r="N48" i="90"/>
  <c r="M48" i="90"/>
  <c r="L48" i="90"/>
  <c r="K48" i="90"/>
  <c r="J48" i="90"/>
  <c r="N43" i="90"/>
  <c r="M43" i="90"/>
  <c r="L43" i="90"/>
  <c r="J43" i="90"/>
  <c r="N40" i="90"/>
  <c r="M40" i="90"/>
  <c r="L40" i="90"/>
  <c r="J40" i="90"/>
  <c r="K40" i="90"/>
  <c r="N37" i="90"/>
  <c r="M37" i="90"/>
  <c r="L37" i="90"/>
  <c r="N35" i="90"/>
  <c r="M35" i="90"/>
  <c r="L35" i="90"/>
  <c r="K35" i="90"/>
  <c r="J35" i="90"/>
  <c r="J34" i="90"/>
  <c r="N33" i="90"/>
  <c r="M33" i="90"/>
  <c r="L33" i="90"/>
  <c r="K33" i="90"/>
  <c r="J33" i="90"/>
  <c r="N28" i="90"/>
  <c r="M28" i="90"/>
  <c r="L28" i="90"/>
  <c r="K28" i="90"/>
  <c r="J28" i="90"/>
  <c r="N23" i="90"/>
  <c r="M23" i="90"/>
  <c r="L23" i="90"/>
  <c r="J23" i="90"/>
  <c r="K23" i="90"/>
  <c r="J22" i="90"/>
  <c r="K22" i="90"/>
  <c r="M20" i="90"/>
  <c r="L20" i="90"/>
  <c r="K20" i="90"/>
  <c r="J20" i="90"/>
  <c r="N20" i="90"/>
  <c r="N19" i="90"/>
  <c r="M19" i="90"/>
  <c r="L19" i="90"/>
  <c r="J19" i="90"/>
  <c r="K19" i="90"/>
  <c r="N18" i="90"/>
  <c r="M18" i="90"/>
  <c r="L18" i="90"/>
  <c r="J18" i="90"/>
  <c r="K18" i="90"/>
  <c r="N17" i="90"/>
  <c r="M17" i="90"/>
  <c r="L17" i="90"/>
  <c r="J17" i="90"/>
  <c r="K17" i="90"/>
  <c r="N16" i="90"/>
  <c r="M16" i="90"/>
  <c r="L16" i="90"/>
  <c r="K16" i="90"/>
  <c r="J16" i="90"/>
  <c r="N15" i="90"/>
  <c r="M15" i="90"/>
  <c r="L15" i="90"/>
  <c r="J15" i="90"/>
  <c r="K15" i="90"/>
  <c r="N14" i="90"/>
  <c r="M14" i="90"/>
  <c r="L14" i="90"/>
  <c r="J14" i="90"/>
  <c r="K14" i="90"/>
  <c r="N13" i="90"/>
  <c r="M13" i="90"/>
  <c r="L13" i="90"/>
  <c r="J13" i="90"/>
  <c r="K13" i="90"/>
  <c r="N12" i="90"/>
  <c r="M12" i="90"/>
  <c r="L12" i="90"/>
  <c r="K12" i="90"/>
  <c r="J12" i="90"/>
  <c r="K11" i="90"/>
  <c r="M44" i="90" l="1"/>
  <c r="L64" i="90"/>
  <c r="G45" i="89" s="1"/>
  <c r="M29" i="90"/>
  <c r="H44" i="90"/>
  <c r="L44" i="90"/>
  <c r="N64" i="90"/>
  <c r="I45" i="89" s="1"/>
  <c r="N44" i="90"/>
  <c r="H64" i="90"/>
  <c r="D45" i="89" s="1"/>
  <c r="H29" i="90"/>
  <c r="M64" i="90"/>
  <c r="H45" i="89" s="1"/>
  <c r="L29" i="90"/>
  <c r="J64" i="90"/>
  <c r="K64" i="90"/>
  <c r="F45" i="89" s="1"/>
  <c r="N29" i="90"/>
  <c r="E45" i="89" l="1"/>
  <c r="P64" i="90"/>
  <c r="J42" i="209" l="1"/>
  <c r="E34" i="39"/>
  <c r="E45" i="193" l="1"/>
  <c r="K55" i="139"/>
  <c r="N52" i="139"/>
  <c r="J50" i="139"/>
  <c r="J55" i="139"/>
  <c r="J53" i="139"/>
  <c r="E25" i="212" l="1"/>
  <c r="G46" i="193"/>
  <c r="E25" i="193"/>
  <c r="H17" i="209" l="1"/>
  <c r="K32" i="209" l="1"/>
  <c r="N11" i="209"/>
  <c r="M11" i="209"/>
  <c r="L11" i="209"/>
  <c r="K11" i="209"/>
  <c r="J11" i="209"/>
  <c r="N32" i="209"/>
  <c r="M32" i="209"/>
  <c r="L32" i="209"/>
  <c r="J32" i="209"/>
  <c r="J34" i="139"/>
  <c r="K13" i="139"/>
  <c r="K11" i="139"/>
  <c r="E46" i="153" l="1"/>
  <c r="Q32" i="153"/>
  <c r="S32" i="153" s="1"/>
  <c r="E33" i="153"/>
  <c r="G46" i="153"/>
  <c r="K46" i="153"/>
  <c r="O46" i="153"/>
  <c r="F46" i="153"/>
  <c r="J46" i="153"/>
  <c r="N46" i="153"/>
  <c r="H46" i="153"/>
  <c r="L46" i="153"/>
  <c r="P46" i="153"/>
  <c r="I46" i="153"/>
  <c r="M46" i="153"/>
  <c r="M33" i="153"/>
  <c r="I33" i="153"/>
  <c r="G33" i="153"/>
  <c r="K33" i="153"/>
  <c r="O33" i="153"/>
  <c r="F33" i="153"/>
  <c r="J33" i="153"/>
  <c r="N33" i="153"/>
  <c r="H33" i="153"/>
  <c r="L33" i="153"/>
  <c r="P33" i="153"/>
  <c r="K40" i="78" l="1"/>
  <c r="K38" i="78"/>
  <c r="G43" i="222"/>
  <c r="F43" i="222"/>
  <c r="E43" i="222"/>
  <c r="D43" i="222"/>
  <c r="C43" i="222"/>
  <c r="F24" i="222"/>
  <c r="E24" i="222"/>
  <c r="D24" i="222"/>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P17" i="213"/>
  <c r="P16" i="213"/>
  <c r="G11" i="213"/>
  <c r="H24" i="206"/>
  <c r="G24" i="206"/>
  <c r="F24" i="206"/>
  <c r="E24" i="206"/>
  <c r="D24" i="206"/>
  <c r="C24" i="206"/>
  <c r="G44" i="206"/>
  <c r="F44" i="206"/>
  <c r="E44" i="206"/>
  <c r="D44" i="206"/>
  <c r="C44" i="206"/>
  <c r="G44" i="205"/>
  <c r="F44" i="205"/>
  <c r="E44" i="205"/>
  <c r="D44" i="205"/>
  <c r="C44" i="205"/>
  <c r="H24" i="205"/>
  <c r="G24" i="205"/>
  <c r="F24" i="205"/>
  <c r="E24" i="205"/>
  <c r="D24" i="205"/>
  <c r="C24" i="205"/>
  <c r="G43" i="203"/>
  <c r="F43" i="203"/>
  <c r="D43" i="203"/>
  <c r="C43" i="203"/>
  <c r="F24" i="203"/>
  <c r="E24" i="203"/>
  <c r="D24" i="203"/>
  <c r="H24" i="188"/>
  <c r="G24" i="188"/>
  <c r="F24" i="188"/>
  <c r="E24" i="188"/>
  <c r="D24" i="188"/>
  <c r="C24" i="188"/>
  <c r="F44" i="188"/>
  <c r="D44" i="188"/>
  <c r="C44" i="188"/>
  <c r="H24" i="186"/>
  <c r="G24" i="186"/>
  <c r="F24" i="186"/>
  <c r="E24" i="186"/>
  <c r="D24" i="186"/>
  <c r="C24" i="186"/>
  <c r="D44" i="186"/>
  <c r="P50" i="74"/>
  <c r="P49" i="74"/>
  <c r="P48" i="74"/>
  <c r="P47" i="74"/>
  <c r="P46" i="74"/>
  <c r="P45" i="74"/>
  <c r="P44" i="74"/>
  <c r="P43" i="74"/>
  <c r="P42" i="74"/>
  <c r="P41" i="74"/>
  <c r="P40" i="74"/>
  <c r="P39" i="74"/>
  <c r="P38" i="74"/>
  <c r="P37" i="74"/>
  <c r="P36" i="74"/>
  <c r="P35" i="74"/>
  <c r="P34" i="74"/>
  <c r="P33" i="74"/>
  <c r="P32" i="74"/>
  <c r="P31" i="74"/>
  <c r="P30" i="74"/>
  <c r="P29" i="74"/>
  <c r="P18" i="74"/>
  <c r="P17" i="74"/>
  <c r="P16" i="74"/>
  <c r="G11" i="74"/>
  <c r="P28" i="74" l="1"/>
  <c r="E44" i="188"/>
  <c r="P25" i="74"/>
  <c r="P27" i="74"/>
  <c r="E43" i="203" l="1"/>
  <c r="K39" i="78" l="1"/>
  <c r="G21" i="78"/>
  <c r="R13" i="129" l="1"/>
  <c r="R15" i="129"/>
  <c r="G28" i="193" l="1"/>
  <c r="G28" i="212"/>
  <c r="F28" i="212"/>
  <c r="P40" i="232" l="1"/>
  <c r="I40" i="232"/>
  <c r="F6" i="149" l="1"/>
  <c r="F44" i="186"/>
  <c r="G24" i="193" l="1"/>
  <c r="J9" i="178" l="1"/>
  <c r="N19" i="139" l="1"/>
  <c r="M19" i="139"/>
  <c r="L19" i="139"/>
  <c r="J19" i="139"/>
  <c r="N18" i="139"/>
  <c r="M18" i="139"/>
  <c r="L18" i="139"/>
  <c r="J18" i="139"/>
  <c r="N17" i="139"/>
  <c r="M17" i="139"/>
  <c r="L17" i="139"/>
  <c r="K17" i="139"/>
  <c r="N16" i="139"/>
  <c r="M16" i="139"/>
  <c r="L16" i="139"/>
  <c r="J16" i="139"/>
  <c r="N15" i="139"/>
  <c r="M15" i="139"/>
  <c r="L15" i="139"/>
  <c r="J15" i="139"/>
  <c r="N14" i="139"/>
  <c r="M14" i="139"/>
  <c r="L14" i="139"/>
  <c r="J14" i="139"/>
  <c r="N12" i="139"/>
  <c r="M12" i="139"/>
  <c r="L12" i="139"/>
  <c r="K12" i="139"/>
  <c r="N56" i="139" l="1"/>
  <c r="M56" i="139"/>
  <c r="L56" i="139"/>
  <c r="J56" i="139"/>
  <c r="M54" i="139"/>
  <c r="L54" i="139"/>
  <c r="K54" i="139"/>
  <c r="J54" i="139"/>
  <c r="N51" i="139"/>
  <c r="M51" i="139"/>
  <c r="L51" i="139"/>
  <c r="J51" i="139"/>
  <c r="N50" i="139"/>
  <c r="M50" i="139"/>
  <c r="L50" i="139"/>
  <c r="N49" i="139"/>
  <c r="M49" i="139"/>
  <c r="L49" i="139"/>
  <c r="K49" i="139"/>
  <c r="H12" i="145" l="1"/>
  <c r="E44" i="186" l="1"/>
  <c r="K19" i="139" l="1"/>
  <c r="K18" i="139"/>
  <c r="J17" i="139"/>
  <c r="F28" i="193"/>
  <c r="K16" i="139"/>
  <c r="K15" i="139"/>
  <c r="K14" i="139"/>
  <c r="J12" i="139"/>
  <c r="K51" i="139"/>
  <c r="K56" i="139"/>
  <c r="N54" i="139"/>
  <c r="J49" i="139"/>
  <c r="K10" i="139" l="1"/>
  <c r="F44" i="219"/>
  <c r="F17" i="219"/>
  <c r="F16" i="219"/>
  <c r="F15" i="219"/>
  <c r="F44" i="39"/>
  <c r="F18" i="39"/>
  <c r="F17" i="39"/>
  <c r="F16" i="39"/>
  <c r="F15" i="39"/>
  <c r="F34" i="219"/>
  <c r="F18" i="219"/>
  <c r="G18" i="213" l="1"/>
  <c r="G17" i="213"/>
  <c r="G16" i="213"/>
  <c r="G18" i="74"/>
  <c r="G17" i="74"/>
  <c r="G16" i="74"/>
  <c r="E41" i="193" l="1"/>
  <c r="E43" i="193" s="1"/>
  <c r="E45" i="212"/>
  <c r="E41" i="212"/>
  <c r="F24" i="212"/>
  <c r="A5" i="194" l="1"/>
  <c r="B2" i="153"/>
  <c r="B4" i="178"/>
  <c r="B4" i="179"/>
  <c r="B4" i="196"/>
  <c r="A5" i="180"/>
  <c r="A5" i="226"/>
  <c r="B4" i="225"/>
  <c r="B4" i="224"/>
  <c r="B4" i="223"/>
  <c r="F4" i="149" l="1"/>
  <c r="F5" i="149" l="1"/>
  <c r="J11" i="196" l="1"/>
  <c r="J11" i="179"/>
  <c r="U2" i="232" l="1"/>
  <c r="U2" i="231"/>
  <c r="H8" i="231"/>
  <c r="H8" i="232"/>
  <c r="N40" i="232"/>
  <c r="M40" i="232"/>
  <c r="J40" i="232"/>
  <c r="F40" i="232"/>
  <c r="E40" i="232"/>
  <c r="O13" i="232"/>
  <c r="K13" i="232"/>
  <c r="G13" i="232"/>
  <c r="N36" i="231"/>
  <c r="M36" i="231"/>
  <c r="J36" i="231"/>
  <c r="I36" i="231"/>
  <c r="F36" i="231"/>
  <c r="E36" i="231"/>
  <c r="W33" i="231"/>
  <c r="O33" i="231"/>
  <c r="K33" i="231"/>
  <c r="G33" i="231"/>
  <c r="W32" i="231"/>
  <c r="O32" i="231"/>
  <c r="K32" i="231"/>
  <c r="G32" i="231"/>
  <c r="W31" i="231"/>
  <c r="O31" i="231"/>
  <c r="K31" i="231"/>
  <c r="G31" i="231"/>
  <c r="W30" i="231"/>
  <c r="O30" i="231"/>
  <c r="K30" i="231"/>
  <c r="G30" i="231"/>
  <c r="W29" i="231"/>
  <c r="O29" i="231"/>
  <c r="K29" i="231"/>
  <c r="G29" i="231"/>
  <c r="W28" i="231"/>
  <c r="O28" i="231"/>
  <c r="K28" i="231"/>
  <c r="G28" i="231"/>
  <c r="W27" i="231"/>
  <c r="O27" i="231"/>
  <c r="K27" i="231"/>
  <c r="G27" i="231"/>
  <c r="W26" i="231"/>
  <c r="O26" i="231"/>
  <c r="K26" i="231"/>
  <c r="G26" i="231"/>
  <c r="W25" i="231"/>
  <c r="O25" i="231"/>
  <c r="K25" i="231"/>
  <c r="G25" i="231"/>
  <c r="W24" i="231"/>
  <c r="O24" i="231"/>
  <c r="K24" i="231"/>
  <c r="G24" i="231"/>
  <c r="W23" i="231"/>
  <c r="O23" i="231"/>
  <c r="K23" i="231"/>
  <c r="G23" i="231"/>
  <c r="W22" i="231"/>
  <c r="O22" i="231"/>
  <c r="K22" i="231"/>
  <c r="G22" i="231"/>
  <c r="W21" i="231"/>
  <c r="O21" i="231"/>
  <c r="K21" i="231"/>
  <c r="G21" i="231"/>
  <c r="W20" i="231"/>
  <c r="O20" i="231"/>
  <c r="K20" i="231"/>
  <c r="G20" i="231"/>
  <c r="W19" i="231"/>
  <c r="O19" i="231"/>
  <c r="K19" i="231"/>
  <c r="G19" i="231"/>
  <c r="W18" i="231"/>
  <c r="O18" i="231"/>
  <c r="K18" i="231"/>
  <c r="G18" i="231"/>
  <c r="W17" i="231"/>
  <c r="O17" i="231"/>
  <c r="K17" i="231"/>
  <c r="G17" i="231"/>
  <c r="O13" i="231"/>
  <c r="K13" i="231"/>
  <c r="G13" i="231"/>
  <c r="V30" i="231" l="1"/>
  <c r="V23" i="231"/>
  <c r="V25" i="231"/>
  <c r="R13" i="232"/>
  <c r="T13" i="232" s="1"/>
  <c r="R29" i="231"/>
  <c r="T29" i="231" s="1"/>
  <c r="V18" i="231"/>
  <c r="R20" i="231"/>
  <c r="T20" i="231" s="1"/>
  <c r="V22" i="231"/>
  <c r="R28" i="231"/>
  <c r="T28" i="231" s="1"/>
  <c r="R21" i="231"/>
  <c r="T21" i="231" s="1"/>
  <c r="V29" i="231"/>
  <c r="K36" i="231"/>
  <c r="R27" i="231"/>
  <c r="T27" i="231" s="1"/>
  <c r="V28" i="231"/>
  <c r="R13" i="231"/>
  <c r="T13" i="231" s="1"/>
  <c r="R19" i="231"/>
  <c r="T19" i="231" s="1"/>
  <c r="V20" i="231"/>
  <c r="V21" i="231"/>
  <c r="V32" i="231"/>
  <c r="E14" i="232"/>
  <c r="I14" i="232"/>
  <c r="H4" i="232"/>
  <c r="H4" i="231" s="1"/>
  <c r="I14" i="231"/>
  <c r="R22" i="231"/>
  <c r="T22" i="231" s="1"/>
  <c r="V24" i="231"/>
  <c r="V26" i="231"/>
  <c r="V31" i="231"/>
  <c r="V33" i="231"/>
  <c r="O36" i="231"/>
  <c r="R30" i="231"/>
  <c r="T30" i="231" s="1"/>
  <c r="G40" i="232"/>
  <c r="O40" i="232"/>
  <c r="T15" i="232"/>
  <c r="T15" i="231"/>
  <c r="R18" i="231"/>
  <c r="T18" i="231" s="1"/>
  <c r="R26" i="231"/>
  <c r="T26" i="231" s="1"/>
  <c r="V27" i="231"/>
  <c r="R33" i="231"/>
  <c r="T33" i="231" s="1"/>
  <c r="G36" i="231"/>
  <c r="R24" i="231"/>
  <c r="T24" i="231" s="1"/>
  <c r="R32" i="231"/>
  <c r="T32" i="231" s="1"/>
  <c r="R17" i="231"/>
  <c r="T17" i="231" s="1"/>
  <c r="V19" i="231"/>
  <c r="R25" i="231"/>
  <c r="T25" i="231" s="1"/>
  <c r="E14" i="231"/>
  <c r="V17" i="231"/>
  <c r="R23" i="231"/>
  <c r="T23" i="231" s="1"/>
  <c r="R31" i="231"/>
  <c r="T31" i="231" s="1"/>
  <c r="V36" i="231" l="1"/>
  <c r="T36" i="231"/>
  <c r="R36" i="231"/>
  <c r="S49" i="216" l="1"/>
  <c r="S48" i="216"/>
  <c r="S47" i="216"/>
  <c r="S46" i="216"/>
  <c r="O19" i="216"/>
  <c r="N19" i="216"/>
  <c r="O18" i="216"/>
  <c r="N18" i="216"/>
  <c r="O19" i="129"/>
  <c r="N19" i="129"/>
  <c r="G23" i="86" s="1"/>
  <c r="O18" i="129"/>
  <c r="N18" i="129"/>
  <c r="S49" i="129"/>
  <c r="S48" i="129"/>
  <c r="S47" i="129"/>
  <c r="S46" i="129"/>
  <c r="P18" i="216" l="1"/>
  <c r="P19" i="216"/>
  <c r="P19" i="129"/>
  <c r="P18" i="129"/>
  <c r="N2" i="204"/>
  <c r="C8" i="214" s="1"/>
  <c r="B20" i="214" s="1"/>
  <c r="L15" i="149"/>
  <c r="J45" i="228"/>
  <c r="I45" i="228"/>
  <c r="K44" i="228"/>
  <c r="N44" i="228" s="1"/>
  <c r="K43" i="228"/>
  <c r="N43" i="228" s="1"/>
  <c r="K42" i="228"/>
  <c r="N42" i="228" s="1"/>
  <c r="K41" i="228"/>
  <c r="N41" i="228" s="1"/>
  <c r="K40" i="228"/>
  <c r="N40" i="228" s="1"/>
  <c r="I33" i="228"/>
  <c r="G147" i="204" s="1"/>
  <c r="I28" i="228"/>
  <c r="G141" i="204" s="1"/>
  <c r="I23" i="228"/>
  <c r="G133" i="204" s="1"/>
  <c r="I16" i="228"/>
  <c r="B16" i="228"/>
  <c r="B18" i="228" s="1"/>
  <c r="B15" i="228"/>
  <c r="B14" i="228"/>
  <c r="B13" i="228"/>
  <c r="B12" i="228"/>
  <c r="B11" i="228"/>
  <c r="A5" i="228"/>
  <c r="A2" i="228"/>
  <c r="G16" i="227"/>
  <c r="F16" i="227"/>
  <c r="H15" i="227"/>
  <c r="H14" i="227"/>
  <c r="H13" i="227"/>
  <c r="H12" i="227"/>
  <c r="A12" i="227"/>
  <c r="A13" i="227" s="1"/>
  <c r="A14" i="227" s="1"/>
  <c r="A15" i="227" s="1"/>
  <c r="A16" i="227" s="1"/>
  <c r="E98" i="204" s="1"/>
  <c r="H11" i="227"/>
  <c r="A5" i="227"/>
  <c r="A2" i="227"/>
  <c r="L59" i="223"/>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F11" i="223"/>
  <c r="D19" i="223" s="1"/>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A12" i="222"/>
  <c r="A13" i="222" s="1"/>
  <c r="A14" i="222" s="1"/>
  <c r="A15" i="222" s="1"/>
  <c r="A16" i="222" s="1"/>
  <c r="A17" i="222" s="1"/>
  <c r="A18" i="222" s="1"/>
  <c r="A19" i="222" s="1"/>
  <c r="A20" i="222" s="1"/>
  <c r="A21" i="222" s="1"/>
  <c r="A22" i="222" s="1"/>
  <c r="A23" i="222" s="1"/>
  <c r="A24" i="222" s="1"/>
  <c r="A5" i="222"/>
  <c r="A2" i="222"/>
  <c r="G189" i="221"/>
  <c r="E54" i="221"/>
  <c r="M52" i="221"/>
  <c r="K50" i="221"/>
  <c r="K49" i="221"/>
  <c r="K48" i="221"/>
  <c r="M47" i="221"/>
  <c r="M46" i="221"/>
  <c r="M45" i="221"/>
  <c r="K44" i="221"/>
  <c r="K43" i="221"/>
  <c r="K42" i="221"/>
  <c r="K41" i="221"/>
  <c r="K40" i="221"/>
  <c r="K39" i="221"/>
  <c r="M38" i="221"/>
  <c r="M33" i="221"/>
  <c r="I29" i="221"/>
  <c r="I28" i="221"/>
  <c r="I27" i="221"/>
  <c r="M24" i="221"/>
  <c r="G20" i="221"/>
  <c r="M16" i="221"/>
  <c r="A16" i="221"/>
  <c r="A17" i="221" s="1"/>
  <c r="A19" i="221" s="1"/>
  <c r="A20" i="221" s="1"/>
  <c r="A21" i="221" s="1"/>
  <c r="A22" i="221" s="1"/>
  <c r="A23" i="221" s="1"/>
  <c r="A24" i="221" s="1"/>
  <c r="A26" i="221" s="1"/>
  <c r="A27" i="221" s="1"/>
  <c r="A28" i="221" s="1"/>
  <c r="A29" i="221" s="1"/>
  <c r="A30" i="221" s="1"/>
  <c r="A32" i="221" s="1"/>
  <c r="A33" i="221" s="1"/>
  <c r="A34" i="221" s="1"/>
  <c r="A35" i="221" s="1"/>
  <c r="A37" i="221" s="1"/>
  <c r="A38" i="221" s="1"/>
  <c r="A39" i="221" s="1"/>
  <c r="A40" i="221" s="1"/>
  <c r="A41" i="221" s="1"/>
  <c r="A42" i="221" s="1"/>
  <c r="A43" i="221" s="1"/>
  <c r="A44" i="221" s="1"/>
  <c r="A45" i="221" s="1"/>
  <c r="A46" i="221" s="1"/>
  <c r="A47" i="221" s="1"/>
  <c r="A48" i="221" s="1"/>
  <c r="A49" i="221" s="1"/>
  <c r="A50" i="221" s="1"/>
  <c r="A51" i="221" s="1"/>
  <c r="A52" i="221" s="1"/>
  <c r="A54" i="221" s="1"/>
  <c r="C57" i="221" s="1"/>
  <c r="A5" i="221"/>
  <c r="A2" i="221"/>
  <c r="E53" i="220"/>
  <c r="F61" i="215" s="1"/>
  <c r="P30" i="215" s="1"/>
  <c r="K44" i="220"/>
  <c r="K42" i="220"/>
  <c r="A41" i="220"/>
  <c r="A42" i="220" s="1"/>
  <c r="A43" i="220" s="1"/>
  <c r="A44" i="220" s="1"/>
  <c r="A45" i="220" s="1"/>
  <c r="F27" i="220"/>
  <c r="F23" i="220"/>
  <c r="F19" i="220"/>
  <c r="F15" i="220"/>
  <c r="F11" i="220"/>
  <c r="A5" i="220"/>
  <c r="A2" i="220"/>
  <c r="F50" i="219"/>
  <c r="G146" i="204" s="1"/>
  <c r="L146" i="204" s="1"/>
  <c r="E50" i="219"/>
  <c r="D50" i="219"/>
  <c r="G140" i="204" s="1"/>
  <c r="F41" i="219"/>
  <c r="G145" i="204" s="1"/>
  <c r="E41" i="219"/>
  <c r="D41" i="219"/>
  <c r="G139" i="204" s="1"/>
  <c r="F31" i="219"/>
  <c r="G144" i="204" s="1"/>
  <c r="D31" i="219"/>
  <c r="G138" i="204" s="1"/>
  <c r="A16" i="219"/>
  <c r="A17" i="219" s="1"/>
  <c r="A18" i="219" s="1"/>
  <c r="A19" i="219" s="1"/>
  <c r="A20" i="219" s="1"/>
  <c r="A21" i="219" s="1"/>
  <c r="A22" i="219" s="1"/>
  <c r="A23" i="219" s="1"/>
  <c r="A24" i="219" s="1"/>
  <c r="A25" i="219" s="1"/>
  <c r="A26" i="219" s="1"/>
  <c r="A27" i="219" s="1"/>
  <c r="A28" i="219" s="1"/>
  <c r="A29" i="219" s="1"/>
  <c r="A31" i="219" s="1"/>
  <c r="E31" i="219"/>
  <c r="A5" i="219"/>
  <c r="G21" i="218"/>
  <c r="G132" i="204" s="1"/>
  <c r="B13" i="218"/>
  <c r="A5" i="218"/>
  <c r="A2" i="218"/>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O20" i="216"/>
  <c r="N20" i="216"/>
  <c r="L20" i="216"/>
  <c r="S19" i="216"/>
  <c r="S18" i="216"/>
  <c r="S17" i="216"/>
  <c r="S16" i="216"/>
  <c r="S15" i="216"/>
  <c r="R15" i="216"/>
  <c r="R13"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P14"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C20" i="214"/>
  <c r="C22" i="214" s="1"/>
  <c r="A14" i="214"/>
  <c r="A16" i="214" s="1"/>
  <c r="A17" i="214" s="1"/>
  <c r="A18" i="214" s="1"/>
  <c r="A20" i="214" s="1"/>
  <c r="A22" i="214" s="1"/>
  <c r="E111" i="204" s="1"/>
  <c r="A5" i="214"/>
  <c r="A2" i="214"/>
  <c r="M53" i="213"/>
  <c r="AC51" i="213"/>
  <c r="AB51" i="213"/>
  <c r="AA51" i="213"/>
  <c r="Z51" i="213"/>
  <c r="Y51" i="213"/>
  <c r="X51" i="213"/>
  <c r="W51" i="213"/>
  <c r="V51" i="213"/>
  <c r="U51" i="213"/>
  <c r="T51" i="213"/>
  <c r="S51" i="213"/>
  <c r="R51" i="213"/>
  <c r="Q51" i="213"/>
  <c r="G51" i="213"/>
  <c r="G107" i="204" s="1"/>
  <c r="L107" i="204" s="1"/>
  <c r="D49" i="213"/>
  <c r="D48" i="213"/>
  <c r="D47" i="213"/>
  <c r="D46" i="213"/>
  <c r="D45" i="213"/>
  <c r="D44" i="213"/>
  <c r="D43" i="213"/>
  <c r="D42" i="213"/>
  <c r="D41" i="213"/>
  <c r="D40" i="213"/>
  <c r="D39" i="213"/>
  <c r="D38" i="213"/>
  <c r="D37" i="213"/>
  <c r="D36" i="213"/>
  <c r="D35" i="213"/>
  <c r="D34" i="213"/>
  <c r="D33" i="213"/>
  <c r="D32" i="213"/>
  <c r="D31" i="213"/>
  <c r="I51" i="213" s="1"/>
  <c r="G106" i="204" s="1"/>
  <c r="D30" i="213"/>
  <c r="J51" i="213" s="1"/>
  <c r="G105" i="204" s="1"/>
  <c r="D29" i="213"/>
  <c r="D28" i="213"/>
  <c r="D27" i="213"/>
  <c r="E51" i="213" s="1"/>
  <c r="G108" i="204" s="1"/>
  <c r="L108" i="204" s="1"/>
  <c r="D26" i="213"/>
  <c r="H25" i="213"/>
  <c r="F25" i="213"/>
  <c r="D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1" i="213" s="1"/>
  <c r="A17" i="213"/>
  <c r="A18"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1" i="213" s="1"/>
  <c r="A5" i="213"/>
  <c r="M5" i="213" s="1"/>
  <c r="M4" i="213"/>
  <c r="A2" i="213"/>
  <c r="M2" i="213" s="1"/>
  <c r="G46" i="212"/>
  <c r="G47" i="212" s="1"/>
  <c r="G42" i="212"/>
  <c r="G43" i="212" s="1"/>
  <c r="F42" i="212"/>
  <c r="F43" i="212" s="1"/>
  <c r="E42" i="212"/>
  <c r="K14" i="210" s="1"/>
  <c r="F39" i="212"/>
  <c r="F46" i="212" s="1"/>
  <c r="F47" i="212" s="1"/>
  <c r="E39" i="212"/>
  <c r="D38" i="212"/>
  <c r="D37" i="212"/>
  <c r="D52" i="212" s="1"/>
  <c r="D36" i="212"/>
  <c r="I25" i="212"/>
  <c r="I26" i="212" s="1"/>
  <c r="H25" i="212"/>
  <c r="H26" i="212" s="1"/>
  <c r="G25" i="212"/>
  <c r="F25" i="212"/>
  <c r="K15" i="210" s="1"/>
  <c r="E26" i="212"/>
  <c r="D21" i="212"/>
  <c r="I20" i="212"/>
  <c r="I22" i="212" s="1"/>
  <c r="I29" i="212" s="1"/>
  <c r="I30" i="212" s="1"/>
  <c r="H20" i="212"/>
  <c r="H22" i="212" s="1"/>
  <c r="H29" i="212" s="1"/>
  <c r="H30" i="212" s="1"/>
  <c r="G20" i="212"/>
  <c r="G22" i="212" s="1"/>
  <c r="G29" i="212" s="1"/>
  <c r="F20"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C4" i="210"/>
  <c r="C3" i="210"/>
  <c r="H54" i="209"/>
  <c r="D44" i="208" s="1"/>
  <c r="N52" i="209"/>
  <c r="M52" i="209"/>
  <c r="L52" i="209"/>
  <c r="K52" i="209"/>
  <c r="J52" i="209"/>
  <c r="N51" i="209"/>
  <c r="M51" i="209"/>
  <c r="L51" i="209"/>
  <c r="K51" i="209"/>
  <c r="J51" i="209"/>
  <c r="N50" i="209"/>
  <c r="M50" i="209"/>
  <c r="L50" i="209"/>
  <c r="K50" i="209"/>
  <c r="J50" i="209"/>
  <c r="N49" i="209"/>
  <c r="M49" i="209"/>
  <c r="L49" i="209"/>
  <c r="K49" i="209"/>
  <c r="J49" i="209"/>
  <c r="N48" i="209"/>
  <c r="M48" i="209"/>
  <c r="L48" i="209"/>
  <c r="K48" i="209"/>
  <c r="J48" i="209"/>
  <c r="N43" i="209"/>
  <c r="M43" i="209"/>
  <c r="L43" i="209"/>
  <c r="K43" i="209"/>
  <c r="J43" i="209"/>
  <c r="N41" i="209"/>
  <c r="M41" i="209"/>
  <c r="L41" i="209"/>
  <c r="K41" i="209"/>
  <c r="J41" i="209"/>
  <c r="N40" i="209"/>
  <c r="M40" i="209"/>
  <c r="L40" i="209"/>
  <c r="K40" i="209"/>
  <c r="J40" i="209"/>
  <c r="N35" i="209"/>
  <c r="M35" i="209"/>
  <c r="L35" i="209"/>
  <c r="J35" i="209"/>
  <c r="N27" i="209"/>
  <c r="M27" i="209"/>
  <c r="L27" i="209"/>
  <c r="N21" i="209"/>
  <c r="M21" i="209"/>
  <c r="L21" i="209"/>
  <c r="K21" i="209"/>
  <c r="J21" i="209"/>
  <c r="H11" i="211"/>
  <c r="N16" i="209"/>
  <c r="M16" i="209"/>
  <c r="L16" i="209"/>
  <c r="K16" i="209"/>
  <c r="J16" i="209"/>
  <c r="N13" i="209"/>
  <c r="M13" i="209"/>
  <c r="L13" i="209"/>
  <c r="K13" i="209"/>
  <c r="J13" i="209"/>
  <c r="N12" i="209"/>
  <c r="M12" i="209"/>
  <c r="L12" i="209"/>
  <c r="K12" i="209"/>
  <c r="J12" i="209"/>
  <c r="C4" i="209"/>
  <c r="C3" i="209"/>
  <c r="D61" i="208"/>
  <c r="D62" i="208" s="1"/>
  <c r="G91" i="204" s="1"/>
  <c r="G59" i="208"/>
  <c r="G61" i="208" s="1"/>
  <c r="G62" i="208" s="1"/>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H53" i="205"/>
  <c r="G53" i="205"/>
  <c r="I52" i="205"/>
  <c r="I51" i="205"/>
  <c r="I50" i="205"/>
  <c r="L208" i="204"/>
  <c r="A12" i="205"/>
  <c r="A13" i="205" s="1"/>
  <c r="A14" i="205" s="1"/>
  <c r="A15" i="205" s="1"/>
  <c r="A16" i="205" s="1"/>
  <c r="A17" i="205" s="1"/>
  <c r="A18" i="205" s="1"/>
  <c r="A19" i="205" s="1"/>
  <c r="A20" i="205" s="1"/>
  <c r="A21" i="205" s="1"/>
  <c r="A22" i="205" s="1"/>
  <c r="A23" i="205" s="1"/>
  <c r="A24" i="205" s="1"/>
  <c r="A5" i="205"/>
  <c r="A2" i="205"/>
  <c r="D292" i="204"/>
  <c r="E236" i="204"/>
  <c r="J236" i="204" s="1"/>
  <c r="L231" i="204"/>
  <c r="L230" i="204"/>
  <c r="L229" i="204"/>
  <c r="L226" i="204"/>
  <c r="G219" i="204"/>
  <c r="F219" i="204"/>
  <c r="L218" i="204"/>
  <c r="H218" i="204"/>
  <c r="L217" i="204"/>
  <c r="H217" i="204"/>
  <c r="L216" i="204"/>
  <c r="H216" i="204"/>
  <c r="H215" i="204"/>
  <c r="L214" i="204"/>
  <c r="H214" i="204"/>
  <c r="L207" i="204"/>
  <c r="G186" i="204"/>
  <c r="L186" i="204" s="1"/>
  <c r="D186" i="204"/>
  <c r="G156" i="204"/>
  <c r="G143" i="204"/>
  <c r="G131" i="204"/>
  <c r="E131" i="204"/>
  <c r="L125" i="204"/>
  <c r="I125" i="204"/>
  <c r="G125" i="204"/>
  <c r="E125" i="204"/>
  <c r="L124" i="204"/>
  <c r="E124" i="204"/>
  <c r="G104" i="204"/>
  <c r="G103" i="204"/>
  <c r="G102" i="204"/>
  <c r="E102" i="204"/>
  <c r="D74" i="204"/>
  <c r="D82" i="204" s="1"/>
  <c r="G73" i="204"/>
  <c r="G72" i="204"/>
  <c r="D72" i="204"/>
  <c r="D81" i="204" s="1"/>
  <c r="G71" i="204"/>
  <c r="L71" i="204" s="1"/>
  <c r="G70" i="204"/>
  <c r="L70" i="204" s="1"/>
  <c r="D70" i="204"/>
  <c r="D80" i="204" s="1"/>
  <c r="G69" i="204"/>
  <c r="G68" i="204"/>
  <c r="J68" i="204" s="1"/>
  <c r="J69" i="204" s="1"/>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63" i="204" s="1"/>
  <c r="F43" i="204"/>
  <c r="F117" i="204" s="1"/>
  <c r="F197" i="204" s="1"/>
  <c r="F260" i="204" s="1"/>
  <c r="F42" i="204"/>
  <c r="F116" i="204" s="1"/>
  <c r="F196" i="204" s="1"/>
  <c r="F259" i="204" s="1"/>
  <c r="L35" i="204"/>
  <c r="M32" i="147" s="1"/>
  <c r="L16" i="204"/>
  <c r="M18" i="147" s="1"/>
  <c r="B14" i="204"/>
  <c r="B16" i="204" s="1"/>
  <c r="E18" i="204" s="1"/>
  <c r="C6" i="209" l="1"/>
  <c r="P20" i="216"/>
  <c r="O119" i="215"/>
  <c r="O135" i="215"/>
  <c r="E103" i="204"/>
  <c r="AC23" i="213"/>
  <c r="E104" i="204"/>
  <c r="O146" i="215"/>
  <c r="O118" i="215"/>
  <c r="H54" i="211"/>
  <c r="O120" i="215"/>
  <c r="O136" i="215"/>
  <c r="N21" i="225"/>
  <c r="N45" i="228"/>
  <c r="L96" i="204" s="1"/>
  <c r="O148" i="215"/>
  <c r="O156" i="215"/>
  <c r="C19" i="208"/>
  <c r="C32" i="208" s="1"/>
  <c r="H48" i="205"/>
  <c r="C58" i="208"/>
  <c r="S12" i="213"/>
  <c r="AA12" i="213"/>
  <c r="O113" i="215"/>
  <c r="O126" i="215"/>
  <c r="O142" i="215"/>
  <c r="F22" i="212"/>
  <c r="F29" i="212" s="1"/>
  <c r="K15" i="209" s="1"/>
  <c r="C38" i="234"/>
  <c r="H38" i="234" s="1"/>
  <c r="F61" i="216"/>
  <c r="R31" i="216" s="1"/>
  <c r="O122" i="215"/>
  <c r="N21" i="224"/>
  <c r="O129" i="215"/>
  <c r="K36" i="210"/>
  <c r="F33" i="208" s="1"/>
  <c r="E43" i="212"/>
  <c r="J14" i="210" s="1"/>
  <c r="O106" i="215"/>
  <c r="O151" i="215"/>
  <c r="O159" i="215"/>
  <c r="O138" i="215"/>
  <c r="O154" i="215"/>
  <c r="I53" i="205"/>
  <c r="G94" i="204" s="1"/>
  <c r="L94" i="204" s="1"/>
  <c r="O149" i="215"/>
  <c r="O152" i="215"/>
  <c r="O157" i="215"/>
  <c r="I54" i="221"/>
  <c r="G160" i="204" s="1"/>
  <c r="H43" i="222"/>
  <c r="E235" i="204" s="1"/>
  <c r="E13" i="211"/>
  <c r="F26" i="212"/>
  <c r="O110" i="215"/>
  <c r="O131" i="215"/>
  <c r="O134" i="215"/>
  <c r="O150" i="215"/>
  <c r="O158" i="215"/>
  <c r="M17" i="209"/>
  <c r="H19" i="208" s="1"/>
  <c r="L17" i="209"/>
  <c r="G19" i="208" s="1"/>
  <c r="N17" i="209"/>
  <c r="I19" i="208" s="1"/>
  <c r="B86" i="222"/>
  <c r="D236" i="204"/>
  <c r="E230" i="204"/>
  <c r="E228" i="204"/>
  <c r="E231" i="204"/>
  <c r="E229" i="204"/>
  <c r="A34" i="219"/>
  <c r="A35" i="219" s="1"/>
  <c r="A36" i="219" s="1"/>
  <c r="A37" i="219" s="1"/>
  <c r="A38" i="219" s="1"/>
  <c r="A41" i="219" s="1"/>
  <c r="E144" i="204"/>
  <c r="O107" i="215"/>
  <c r="O111" i="215"/>
  <c r="O112" i="215"/>
  <c r="O115" i="215"/>
  <c r="O121" i="215"/>
  <c r="O130" i="215"/>
  <c r="O139" i="215"/>
  <c r="O143" i="215"/>
  <c r="O147" i="215"/>
  <c r="O153" i="215"/>
  <c r="G54" i="221"/>
  <c r="G162" i="204" s="1"/>
  <c r="P63" i="223"/>
  <c r="K45" i="228"/>
  <c r="G96" i="204" s="1"/>
  <c r="F29" i="220"/>
  <c r="F318" i="204" s="1"/>
  <c r="G168" i="204" s="1"/>
  <c r="F30" i="216" s="1"/>
  <c r="R22" i="216" s="1"/>
  <c r="O105" i="215"/>
  <c r="O114" i="215"/>
  <c r="O123" i="215"/>
  <c r="O127" i="215"/>
  <c r="O128" i="215"/>
  <c r="O137" i="215"/>
  <c r="O141" i="215"/>
  <c r="O144" i="215"/>
  <c r="O145" i="215"/>
  <c r="O155" i="215"/>
  <c r="C52" i="217"/>
  <c r="K27" i="209"/>
  <c r="K36" i="209" s="1"/>
  <c r="F32" i="208" s="1"/>
  <c r="Y23" i="213"/>
  <c r="J9" i="223"/>
  <c r="AB12" i="213"/>
  <c r="Q23" i="213"/>
  <c r="U23" i="213"/>
  <c r="D32" i="208"/>
  <c r="D35" i="208" s="1"/>
  <c r="D36" i="208" s="1"/>
  <c r="G89" i="204" s="1"/>
  <c r="M54" i="221"/>
  <c r="G163" i="204" s="1"/>
  <c r="L163" i="204" s="1"/>
  <c r="K54" i="221"/>
  <c r="G164" i="204" s="1"/>
  <c r="L49" i="223"/>
  <c r="L57" i="223"/>
  <c r="L50" i="223"/>
  <c r="L54" i="223"/>
  <c r="L58" i="223"/>
  <c r="L48" i="223"/>
  <c r="L52" i="223"/>
  <c r="L56" i="223"/>
  <c r="L53" i="223"/>
  <c r="N19" i="223"/>
  <c r="R19" i="223" s="1"/>
  <c r="L51" i="223"/>
  <c r="L55" i="223"/>
  <c r="H12" i="211"/>
  <c r="C18" i="211" s="1"/>
  <c r="L69" i="204"/>
  <c r="C46" i="211"/>
  <c r="H46" i="211" s="1"/>
  <c r="H44" i="211"/>
  <c r="I44" i="211" s="1"/>
  <c r="C50" i="211"/>
  <c r="H50" i="211" s="1"/>
  <c r="M52" i="217"/>
  <c r="G14" i="204" s="1"/>
  <c r="L14" i="204" s="1"/>
  <c r="M16" i="147" s="1"/>
  <c r="F13" i="215"/>
  <c r="E18" i="215" s="1"/>
  <c r="L80" i="204"/>
  <c r="D28" i="212"/>
  <c r="D19" i="208"/>
  <c r="G75" i="204"/>
  <c r="G81" i="204"/>
  <c r="J64" i="204"/>
  <c r="H26" i="208" s="1"/>
  <c r="H37" i="208" s="1"/>
  <c r="H51" i="208" s="1"/>
  <c r="G78" i="204"/>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61" i="204" s="1"/>
  <c r="C59" i="208"/>
  <c r="X12" i="213"/>
  <c r="R23" i="213"/>
  <c r="Z23" i="213"/>
  <c r="D11" i="219"/>
  <c r="B7" i="220"/>
  <c r="C20" i="208"/>
  <c r="C33" i="208" s="1"/>
  <c r="Q12" i="213"/>
  <c r="Y12" i="213"/>
  <c r="S23" i="213"/>
  <c r="AA23" i="213"/>
  <c r="A3" i="205"/>
  <c r="A3" i="208" s="1"/>
  <c r="G48" i="205"/>
  <c r="R12" i="213"/>
  <c r="Z12" i="213"/>
  <c r="T23" i="213"/>
  <c r="AB23" i="213"/>
  <c r="C65" i="222"/>
  <c r="A3" i="227"/>
  <c r="G26" i="212"/>
  <c r="J27" i="210" s="1"/>
  <c r="D24" i="212"/>
  <c r="D47" i="208"/>
  <c r="D48" i="208" s="1"/>
  <c r="G90" i="204" s="1"/>
  <c r="D41" i="212"/>
  <c r="J54" i="209"/>
  <c r="O104" i="215"/>
  <c r="M54" i="209"/>
  <c r="H44" i="208" s="1"/>
  <c r="K54" i="209"/>
  <c r="F44" i="208" s="1"/>
  <c r="N54" i="209"/>
  <c r="I44" i="208" s="1"/>
  <c r="L36" i="209"/>
  <c r="G32" i="208" s="1"/>
  <c r="G30" i="212"/>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A46" i="220"/>
  <c r="A48" i="220" s="1"/>
  <c r="A50" i="220" s="1"/>
  <c r="A51" i="220" s="1"/>
  <c r="D47" i="220"/>
  <c r="L67" i="204"/>
  <c r="D45" i="212"/>
  <c r="E17" i="216"/>
  <c r="E17" i="215"/>
  <c r="G79" i="204"/>
  <c r="L206" i="204"/>
  <c r="G63" i="204"/>
  <c r="G134" i="204"/>
  <c r="G46" i="206"/>
  <c r="L68" i="204" s="1"/>
  <c r="M36" i="209"/>
  <c r="H32" i="208" s="1"/>
  <c r="D20" i="212"/>
  <c r="D51" i="212" s="1"/>
  <c r="D53" i="212" s="1"/>
  <c r="E22" i="212"/>
  <c r="L54" i="204"/>
  <c r="E88" i="204"/>
  <c r="N36" i="209"/>
  <c r="I32" i="208" s="1"/>
  <c r="L54" i="209"/>
  <c r="G44" i="208" s="1"/>
  <c r="D42" i="212"/>
  <c r="D25" i="213"/>
  <c r="D51" i="213" s="1"/>
  <c r="P51" i="213"/>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F81" i="215"/>
  <c r="E46" i="212"/>
  <c r="D39" i="212"/>
  <c r="B22" i="214"/>
  <c r="R14" i="216"/>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B10" i="214"/>
  <c r="O108" i="215"/>
  <c r="O116" i="215"/>
  <c r="O124" i="215"/>
  <c r="O132" i="215"/>
  <c r="O140" i="215"/>
  <c r="K40" i="220"/>
  <c r="I40" i="220"/>
  <c r="D20" i="223"/>
  <c r="F20" i="223"/>
  <c r="J20" i="223" s="1"/>
  <c r="N20" i="223" s="1"/>
  <c r="E104" i="215"/>
  <c r="H16"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E44" i="208" l="1"/>
  <c r="P54" i="209"/>
  <c r="Q54" i="209" s="1"/>
  <c r="D43" i="212"/>
  <c r="C43" i="234"/>
  <c r="C44" i="208"/>
  <c r="M55" i="221"/>
  <c r="I45" i="211"/>
  <c r="I46" i="211" s="1"/>
  <c r="I47" i="211" s="1"/>
  <c r="I48" i="211" s="1"/>
  <c r="I49" i="211" s="1"/>
  <c r="I50" i="211" s="1"/>
  <c r="I51" i="211" s="1"/>
  <c r="I52" i="211" s="1"/>
  <c r="I53" i="211" s="1"/>
  <c r="I54" i="211" s="1"/>
  <c r="I55" i="211" s="1"/>
  <c r="I56" i="211" s="1"/>
  <c r="I58" i="211" s="1"/>
  <c r="F30" i="212"/>
  <c r="C45" i="208"/>
  <c r="J36" i="210"/>
  <c r="K17" i="210"/>
  <c r="F20" i="208" s="1"/>
  <c r="L174" i="204"/>
  <c r="H43" i="234" s="1"/>
  <c r="G174" i="204"/>
  <c r="F30" i="215"/>
  <c r="P21" i="215" s="1"/>
  <c r="G172" i="204"/>
  <c r="L180" i="204" s="1"/>
  <c r="A44" i="219"/>
  <c r="A45" i="219" s="1"/>
  <c r="A46" i="219" s="1"/>
  <c r="A47" i="219" s="1"/>
  <c r="A48" i="219" s="1"/>
  <c r="A50" i="219" s="1"/>
  <c r="E146" i="204" s="1"/>
  <c r="E145" i="204"/>
  <c r="F21" i="218"/>
  <c r="G165" i="204"/>
  <c r="J27" i="209"/>
  <c r="J36" i="209" s="1"/>
  <c r="P12" i="215"/>
  <c r="H13" i="211"/>
  <c r="H14" i="211" s="1"/>
  <c r="C30" i="211" s="1"/>
  <c r="H30" i="211" s="1"/>
  <c r="R20" i="223"/>
  <c r="H18" i="211"/>
  <c r="I18" i="211" s="1"/>
  <c r="D18" i="211"/>
  <c r="D22" i="208"/>
  <c r="D23" i="208" s="1"/>
  <c r="D25" i="208" s="1"/>
  <c r="G83" i="204"/>
  <c r="D26" i="212"/>
  <c r="B31" i="224"/>
  <c r="B23" i="224"/>
  <c r="B25" i="224"/>
  <c r="B24" i="224"/>
  <c r="J12" i="224"/>
  <c r="B36" i="224" s="1"/>
  <c r="A3" i="215"/>
  <c r="A3" i="216"/>
  <c r="A3" i="213"/>
  <c r="M3" i="213" s="1"/>
  <c r="A3" i="222"/>
  <c r="A3" i="214"/>
  <c r="A3" i="218"/>
  <c r="A3" i="220"/>
  <c r="A3" i="207"/>
  <c r="A3" i="221"/>
  <c r="B5" i="224"/>
  <c r="A3" i="228"/>
  <c r="B5" i="225"/>
  <c r="B4" i="212"/>
  <c r="A4" i="217"/>
  <c r="A6" i="226"/>
  <c r="B5" i="223"/>
  <c r="A3" i="219"/>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D50" i="208"/>
  <c r="H47" i="208"/>
  <c r="H48" i="208" s="1"/>
  <c r="H50" i="208" s="1"/>
  <c r="H52" i="208" s="1"/>
  <c r="G35" i="208"/>
  <c r="G36" i="208" s="1"/>
  <c r="G22" i="208"/>
  <c r="G23" i="208" s="1"/>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R19" i="216"/>
  <c r="A52" i="220"/>
  <c r="A53" i="220" s="1"/>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6" i="212"/>
  <c r="K14" i="209"/>
  <c r="B46" i="206"/>
  <c r="L78" i="204"/>
  <c r="P18" i="215"/>
  <c r="B39" i="226"/>
  <c r="P33" i="215"/>
  <c r="F83" i="215"/>
  <c r="F84" i="215" s="1"/>
  <c r="F85" i="215" s="1"/>
  <c r="I35" i="208"/>
  <c r="I36" i="208" s="1"/>
  <c r="E47" i="212"/>
  <c r="B25" i="228"/>
  <c r="E133" i="204"/>
  <c r="R34" i="216"/>
  <c r="F83" i="216"/>
  <c r="F84" i="216" s="1"/>
  <c r="F85" i="216" s="1"/>
  <c r="G101" i="204"/>
  <c r="G109" i="204" s="1"/>
  <c r="G150" i="204"/>
  <c r="E27" i="204"/>
  <c r="B27" i="204"/>
  <c r="B29" i="204" s="1"/>
  <c r="D29" i="204"/>
  <c r="L209" i="204"/>
  <c r="L56" i="204" s="1"/>
  <c r="F104" i="215"/>
  <c r="F21" i="223"/>
  <c r="J21" i="223" s="1"/>
  <c r="N21" i="223" s="1"/>
  <c r="H24" i="223" s="1"/>
  <c r="D21" i="223"/>
  <c r="H35" i="208"/>
  <c r="H36" i="208" s="1"/>
  <c r="H38" i="208" s="1"/>
  <c r="G111" i="204"/>
  <c r="L111" i="204" s="1"/>
  <c r="E32" i="208" l="1"/>
  <c r="P36" i="209"/>
  <c r="Q36" i="209" s="1"/>
  <c r="E33" i="208"/>
  <c r="P36" i="210"/>
  <c r="J15" i="209"/>
  <c r="J17" i="210"/>
  <c r="G180" i="204"/>
  <c r="B11" i="224"/>
  <c r="J13" i="224"/>
  <c r="B38" i="224"/>
  <c r="B35" i="224"/>
  <c r="I60" i="211"/>
  <c r="F49" i="208" s="1"/>
  <c r="F50" i="208" s="1"/>
  <c r="F52" i="208" s="1"/>
  <c r="B40" i="224"/>
  <c r="B39" i="224"/>
  <c r="B37" i="224"/>
  <c r="L179" i="204"/>
  <c r="F34" i="215" s="1"/>
  <c r="P23" i="215" s="1"/>
  <c r="G179" i="204"/>
  <c r="H22" i="223"/>
  <c r="G178" i="204"/>
  <c r="K17" i="209"/>
  <c r="F19" i="208" s="1"/>
  <c r="F22" i="208" s="1"/>
  <c r="F23" i="208" s="1"/>
  <c r="F25" i="208" s="1"/>
  <c r="F27" i="208" s="1"/>
  <c r="C53" i="220"/>
  <c r="C20" i="211"/>
  <c r="H20" i="211" s="1"/>
  <c r="C21" i="211"/>
  <c r="H21" i="211" s="1"/>
  <c r="C19" i="211"/>
  <c r="H19" i="211" s="1"/>
  <c r="I19" i="211" s="1"/>
  <c r="C28" i="211"/>
  <c r="H28" i="211" s="1"/>
  <c r="C27" i="211"/>
  <c r="H27" i="211" s="1"/>
  <c r="C22" i="211"/>
  <c r="H22" i="211" s="1"/>
  <c r="C25" i="211"/>
  <c r="H25" i="211" s="1"/>
  <c r="C24" i="211"/>
  <c r="H24" i="211" s="1"/>
  <c r="C26" i="211"/>
  <c r="H26" i="211" s="1"/>
  <c r="C29" i="211"/>
  <c r="H29" i="211" s="1"/>
  <c r="C23" i="211"/>
  <c r="H23" i="211" s="1"/>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35" i="216"/>
  <c r="R25" i="216" s="1"/>
  <c r="F35" i="215"/>
  <c r="P24" i="215" s="1"/>
  <c r="A37" i="211"/>
  <c r="C24" i="208"/>
  <c r="A63" i="208"/>
  <c r="A64" i="208" s="1"/>
  <c r="E91" i="204" s="1"/>
  <c r="B40" i="220"/>
  <c r="C61" i="216"/>
  <c r="S31" i="216" s="1"/>
  <c r="C61" i="215"/>
  <c r="Q30" i="215" s="1"/>
  <c r="A22" i="212"/>
  <c r="C25" i="212"/>
  <c r="D105" i="215"/>
  <c r="E105" i="215" s="1"/>
  <c r="D47" i="212"/>
  <c r="J14" i="209"/>
  <c r="E30" i="212"/>
  <c r="D30" i="212" s="1"/>
  <c r="D29" i="212"/>
  <c r="L211" i="204"/>
  <c r="B28" i="228"/>
  <c r="B27" i="228"/>
  <c r="B26" i="228"/>
  <c r="D22" i="223"/>
  <c r="F22" i="223"/>
  <c r="R21" i="223"/>
  <c r="H23" i="223"/>
  <c r="D32" i="204"/>
  <c r="B30" i="204"/>
  <c r="E90" i="204"/>
  <c r="A52" i="222"/>
  <c r="A53" i="222" s="1"/>
  <c r="A54" i="222" s="1"/>
  <c r="A55" i="222" s="1"/>
  <c r="A56" i="222" s="1"/>
  <c r="A57" i="222" s="1"/>
  <c r="A58" i="222" s="1"/>
  <c r="E35" i="208" l="1"/>
  <c r="E36" i="208" s="1"/>
  <c r="E38" i="208" s="1"/>
  <c r="E20" i="208"/>
  <c r="P17" i="210"/>
  <c r="F34" i="216"/>
  <c r="R24" i="216" s="1"/>
  <c r="J22" i="223"/>
  <c r="N22" i="223" s="1"/>
  <c r="R22" i="223" s="1"/>
  <c r="D19" i="211"/>
  <c r="D20" i="211" s="1"/>
  <c r="D21" i="211" s="1"/>
  <c r="D22" i="211" s="1"/>
  <c r="D23" i="211" s="1"/>
  <c r="D24" i="211" s="1"/>
  <c r="D25" i="211" s="1"/>
  <c r="D26" i="211" s="1"/>
  <c r="D27" i="211" s="1"/>
  <c r="D28" i="211" s="1"/>
  <c r="D29" i="211" s="1"/>
  <c r="D30" i="211" s="1"/>
  <c r="D32" i="211" s="1"/>
  <c r="I20" i="211"/>
  <c r="I21" i="211" s="1"/>
  <c r="I22" i="211" s="1"/>
  <c r="I23" i="211" s="1"/>
  <c r="I24" i="211" s="1"/>
  <c r="I25" i="211" s="1"/>
  <c r="I26" i="211" s="1"/>
  <c r="I27" i="211" s="1"/>
  <c r="I28" i="211" s="1"/>
  <c r="I29" i="211" s="1"/>
  <c r="I30" i="211" s="1"/>
  <c r="I32" i="211" s="1"/>
  <c r="J17" i="209"/>
  <c r="B59" i="223"/>
  <c r="B58" i="223"/>
  <c r="B50" i="223"/>
  <c r="B51" i="223"/>
  <c r="B57" i="223"/>
  <c r="B56" i="223"/>
  <c r="B53" i="223"/>
  <c r="B48" i="223"/>
  <c r="B54" i="223"/>
  <c r="B49" i="223"/>
  <c r="B52" i="223"/>
  <c r="B55" i="223"/>
  <c r="J144" i="204"/>
  <c r="L144" i="204" s="1"/>
  <c r="J215" i="204"/>
  <c r="L215" i="204" s="1"/>
  <c r="L219" i="204" s="1"/>
  <c r="L221" i="204" s="1"/>
  <c r="J102" i="204"/>
  <c r="L102" i="204" s="1"/>
  <c r="J153" i="204"/>
  <c r="L153" i="204" s="1"/>
  <c r="J134" i="204"/>
  <c r="L134" i="204" s="1"/>
  <c r="L101" i="204" s="1"/>
  <c r="J57" i="204"/>
  <c r="L57" i="204" s="1"/>
  <c r="A24" i="212"/>
  <c r="C29" i="212"/>
  <c r="B60" i="222"/>
  <c r="A60" i="222"/>
  <c r="A63" i="222" s="1"/>
  <c r="E225" i="204"/>
  <c r="B58" i="222"/>
  <c r="D23" i="223"/>
  <c r="F23" i="223"/>
  <c r="J23" i="223" s="1"/>
  <c r="N23" i="223" s="1"/>
  <c r="B30" i="228"/>
  <c r="E141" i="204"/>
  <c r="A38" i="211"/>
  <c r="A39" i="211" s="1"/>
  <c r="C77" i="216"/>
  <c r="S33" i="216" s="1"/>
  <c r="C77" i="215"/>
  <c r="Q32" i="215" s="1"/>
  <c r="B32" i="204"/>
  <c r="B33" i="204" s="1"/>
  <c r="B105" i="215"/>
  <c r="F105" i="215"/>
  <c r="F82" i="129"/>
  <c r="F82" i="143"/>
  <c r="E19" i="208" l="1"/>
  <c r="E22" i="208" s="1"/>
  <c r="E23" i="208" s="1"/>
  <c r="E25" i="208" s="1"/>
  <c r="E27" i="208" s="1"/>
  <c r="P17" i="209"/>
  <c r="Q17" i="209" s="1"/>
  <c r="I34" i="211"/>
  <c r="G24" i="208" s="1"/>
  <c r="G25" i="208" s="1"/>
  <c r="J155" i="204"/>
  <c r="L155" i="204" s="1"/>
  <c r="J154" i="204"/>
  <c r="L154" i="204" s="1"/>
  <c r="J142" i="204"/>
  <c r="L142" i="204" s="1"/>
  <c r="J72" i="204"/>
  <c r="L72" i="204" s="1"/>
  <c r="J61" i="204"/>
  <c r="L61" i="204" s="1"/>
  <c r="J147" i="204"/>
  <c r="L147" i="204" s="1"/>
  <c r="J73" i="204"/>
  <c r="L73" i="204" s="1"/>
  <c r="J160" i="204"/>
  <c r="L160" i="204" s="1"/>
  <c r="J103" i="204"/>
  <c r="L103" i="204" s="1"/>
  <c r="J105" i="204"/>
  <c r="L105" i="204" s="1"/>
  <c r="J60" i="204"/>
  <c r="L60" i="204" s="1"/>
  <c r="J74" i="204"/>
  <c r="L74" i="204" s="1"/>
  <c r="J62" i="204"/>
  <c r="L62" i="204" s="1"/>
  <c r="I26" i="208"/>
  <c r="J98" i="204"/>
  <c r="L98" i="204" s="1"/>
  <c r="E39" i="211"/>
  <c r="B35" i="204"/>
  <c r="B20" i="204"/>
  <c r="L79" i="204"/>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D106" i="215"/>
  <c r="G105" i="215"/>
  <c r="D24" i="223"/>
  <c r="F24" i="223"/>
  <c r="J24" i="223" s="1"/>
  <c r="N24" i="223" s="1"/>
  <c r="H26" i="223" s="1"/>
  <c r="R23" i="223"/>
  <c r="F55" i="216"/>
  <c r="R30" i="216" s="1"/>
  <c r="F55" i="215"/>
  <c r="P29" i="215" s="1"/>
  <c r="F30" i="145"/>
  <c r="H30" i="203"/>
  <c r="L226" i="86"/>
  <c r="L63" i="204" l="1"/>
  <c r="J63" i="204" s="1"/>
  <c r="J162" i="204" s="1"/>
  <c r="L162" i="204" s="1"/>
  <c r="C26" i="212"/>
  <c r="I105" i="215"/>
  <c r="R24" i="223"/>
  <c r="L156" i="204"/>
  <c r="L75" i="204"/>
  <c r="I27" i="208"/>
  <c r="I37" i="208"/>
  <c r="L81" i="204"/>
  <c r="L82" i="204"/>
  <c r="F71" i="216"/>
  <c r="F71" i="215"/>
  <c r="H25" i="223"/>
  <c r="B106" i="215"/>
  <c r="B40" i="228"/>
  <c r="B42" i="228"/>
  <c r="B39" i="228"/>
  <c r="B45" i="228" s="1"/>
  <c r="E96" i="204" s="1"/>
  <c r="B44" i="228"/>
  <c r="B43" i="228"/>
  <c r="B41" i="228"/>
  <c r="E147" i="204"/>
  <c r="A67" i="222"/>
  <c r="A68" i="222" s="1"/>
  <c r="A69" i="222" s="1"/>
  <c r="A70" i="222" s="1"/>
  <c r="A71" i="222" s="1"/>
  <c r="A72" i="222" s="1"/>
  <c r="A73" i="222" s="1"/>
  <c r="A74" i="222" s="1"/>
  <c r="A75" i="222" s="1"/>
  <c r="A76" i="222" s="1"/>
  <c r="H27" i="223"/>
  <c r="E106" i="215"/>
  <c r="F106" i="215" s="1"/>
  <c r="D25" i="223"/>
  <c r="F25" i="223"/>
  <c r="B60" i="211"/>
  <c r="A60" i="211"/>
  <c r="C49" i="208" s="1"/>
  <c r="A29" i="212"/>
  <c r="A30" i="212" s="1"/>
  <c r="A36" i="212" s="1"/>
  <c r="D277" i="204"/>
  <c r="B54" i="204"/>
  <c r="C65" i="203"/>
  <c r="B50" i="203"/>
  <c r="A5" i="203"/>
  <c r="A2" i="203"/>
  <c r="D76" i="203"/>
  <c r="C76" i="203"/>
  <c r="E52" i="203" s="1"/>
  <c r="F75" i="203"/>
  <c r="E74" i="203"/>
  <c r="E73" i="203"/>
  <c r="E72" i="203"/>
  <c r="E71" i="203"/>
  <c r="E70" i="203"/>
  <c r="E69" i="203"/>
  <c r="E68" i="203"/>
  <c r="E67" i="203"/>
  <c r="E66" i="203"/>
  <c r="H42" i="203"/>
  <c r="H41" i="203"/>
  <c r="H40" i="203"/>
  <c r="H39" i="203"/>
  <c r="H38" i="203"/>
  <c r="H37" i="203"/>
  <c r="H36" i="203"/>
  <c r="H35" i="203"/>
  <c r="H34" i="203"/>
  <c r="H33" i="203"/>
  <c r="H32" i="203"/>
  <c r="H31" i="203"/>
  <c r="L231" i="86"/>
  <c r="L230" i="86"/>
  <c r="A12" i="203"/>
  <c r="A13" i="203" s="1"/>
  <c r="A14" i="203" s="1"/>
  <c r="A15" i="203" s="1"/>
  <c r="A16" i="203" s="1"/>
  <c r="A17" i="203" s="1"/>
  <c r="A18" i="203" s="1"/>
  <c r="A19" i="203" s="1"/>
  <c r="A20" i="203" s="1"/>
  <c r="A21" i="203" s="1"/>
  <c r="A22" i="203" s="1"/>
  <c r="A23" i="203" s="1"/>
  <c r="A24" i="203" s="1"/>
  <c r="B86" i="203" s="1"/>
  <c r="E102" i="86"/>
  <c r="D23" i="74"/>
  <c r="D50" i="74"/>
  <c r="D49" i="74"/>
  <c r="D48" i="74"/>
  <c r="D46" i="74"/>
  <c r="D45" i="74"/>
  <c r="D44" i="74"/>
  <c r="D43" i="74"/>
  <c r="D42" i="74"/>
  <c r="D41" i="74"/>
  <c r="D40" i="74"/>
  <c r="D39" i="74"/>
  <c r="D38" i="74"/>
  <c r="D37" i="74"/>
  <c r="D36" i="74"/>
  <c r="D35" i="74"/>
  <c r="D34" i="74"/>
  <c r="D33" i="74"/>
  <c r="D32" i="74"/>
  <c r="D31" i="74"/>
  <c r="D30" i="74"/>
  <c r="D29" i="74"/>
  <c r="D28" i="74"/>
  <c r="G28" i="74" s="1"/>
  <c r="D27" i="74"/>
  <c r="I27" i="74" s="1"/>
  <c r="D25" i="74"/>
  <c r="I25" i="74" s="1"/>
  <c r="M54" i="74"/>
  <c r="L17" i="74"/>
  <c r="L18" i="74" s="1"/>
  <c r="G102" i="86"/>
  <c r="A17" i="74"/>
  <c r="E103" i="86" s="1"/>
  <c r="M4" i="74"/>
  <c r="AC12" i="74"/>
  <c r="AB12" i="74"/>
  <c r="AA12" i="74"/>
  <c r="Z12" i="74"/>
  <c r="Y12" i="74"/>
  <c r="X12" i="74"/>
  <c r="W12" i="74"/>
  <c r="V12" i="74"/>
  <c r="U12" i="74"/>
  <c r="T12" i="74"/>
  <c r="S12" i="74"/>
  <c r="R12" i="74"/>
  <c r="Q12"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L25" i="74" l="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J104" i="204"/>
  <c r="L104" i="204" s="1"/>
  <c r="J143" i="204"/>
  <c r="L143" i="204" s="1"/>
  <c r="J164" i="204"/>
  <c r="L164" i="204" s="1"/>
  <c r="L165" i="204" s="1"/>
  <c r="C30" i="212"/>
  <c r="J178" i="204"/>
  <c r="L178" i="204" s="1"/>
  <c r="F33" i="215" s="1"/>
  <c r="P22" i="215" s="1"/>
  <c r="J106" i="204"/>
  <c r="L106" i="204" s="1"/>
  <c r="J145" i="204"/>
  <c r="L145" i="204" s="1"/>
  <c r="G26" i="208"/>
  <c r="G37" i="208" s="1"/>
  <c r="J25" i="223"/>
  <c r="N25" i="223" s="1"/>
  <c r="R25" i="223" s="1"/>
  <c r="B78" i="222"/>
  <c r="H43" i="203"/>
  <c r="E235" i="86" s="1"/>
  <c r="L83" i="204"/>
  <c r="J83" i="204" s="1"/>
  <c r="I51" i="208"/>
  <c r="I52" i="208" s="1"/>
  <c r="I38" i="208"/>
  <c r="D107" i="215"/>
  <c r="E107" i="215" s="1"/>
  <c r="G106" i="215"/>
  <c r="H106" i="215"/>
  <c r="D26" i="223"/>
  <c r="F26" i="223"/>
  <c r="J26" i="223" s="1"/>
  <c r="N26" i="223" s="1"/>
  <c r="A37" i="212"/>
  <c r="P31" i="215"/>
  <c r="B55" i="204"/>
  <c r="B56" i="204" s="1"/>
  <c r="R32" i="216"/>
  <c r="A78" i="222"/>
  <c r="B52" i="222"/>
  <c r="E86" i="203"/>
  <c r="L229" i="86"/>
  <c r="E236" i="86"/>
  <c r="D47"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L109" i="204" l="1"/>
  <c r="L148" i="204"/>
  <c r="L150" i="204" s="1"/>
  <c r="I106" i="215"/>
  <c r="G27" i="208"/>
  <c r="J27" i="208" s="1"/>
  <c r="L88" i="204" s="1"/>
  <c r="F33" i="216"/>
  <c r="R23" i="216" s="1"/>
  <c r="D27" i="223"/>
  <c r="F27" i="223"/>
  <c r="J27" i="223" s="1"/>
  <c r="N27" i="223" s="1"/>
  <c r="H30" i="223" s="1"/>
  <c r="R26" i="223"/>
  <c r="A79" i="222"/>
  <c r="A80" i="222" s="1"/>
  <c r="A81" i="222" s="1"/>
  <c r="A82" i="222" s="1"/>
  <c r="B57" i="204"/>
  <c r="B58" i="204" s="1"/>
  <c r="E206" i="204"/>
  <c r="C52" i="212"/>
  <c r="A38" i="212"/>
  <c r="G51" i="208"/>
  <c r="G38" i="208"/>
  <c r="J38" i="208" s="1"/>
  <c r="L89" i="204" s="1"/>
  <c r="B107" i="215"/>
  <c r="F107" i="215"/>
  <c r="A50" i="203"/>
  <c r="A51" i="203" s="1"/>
  <c r="A52" i="203" s="1"/>
  <c r="A53" i="203" s="1"/>
  <c r="A54" i="203" s="1"/>
  <c r="A55" i="203" s="1"/>
  <c r="A56" i="203" s="1"/>
  <c r="A57" i="203" s="1"/>
  <c r="A58" i="203" s="1"/>
  <c r="A60" i="203" s="1"/>
  <c r="A63" i="203" s="1"/>
  <c r="D235" i="86"/>
  <c r="P52" i="74"/>
  <c r="E88" i="203"/>
  <c r="H28" i="223" l="1"/>
  <c r="B58" i="203"/>
  <c r="H29" i="223"/>
  <c r="B59" i="204"/>
  <c r="B60" i="204" s="1"/>
  <c r="G63" i="208"/>
  <c r="G64" i="208" s="1"/>
  <c r="J64" i="208" s="1"/>
  <c r="L91" i="204" s="1"/>
  <c r="G52" i="208"/>
  <c r="J52" i="208" s="1"/>
  <c r="L90" i="204" s="1"/>
  <c r="B53" i="222"/>
  <c r="A86" i="222"/>
  <c r="A87" i="222" s="1"/>
  <c r="B82" i="222"/>
  <c r="D28" i="223"/>
  <c r="F28" i="223"/>
  <c r="R27" i="223"/>
  <c r="D108" i="215"/>
  <c r="E108" i="215" s="1"/>
  <c r="G107" i="215"/>
  <c r="H107" i="215"/>
  <c r="A39" i="212"/>
  <c r="C42" i="212"/>
  <c r="C39" i="212"/>
  <c r="E225" i="86"/>
  <c r="B60" i="203"/>
  <c r="A66" i="203"/>
  <c r="D65" i="203"/>
  <c r="J28" i="223" l="1"/>
  <c r="N28" i="223" s="1"/>
  <c r="R28" i="223" s="1"/>
  <c r="L92" i="204"/>
  <c r="L113" i="204" s="1"/>
  <c r="E23" i="215" s="1"/>
  <c r="D29" i="223"/>
  <c r="F29" i="223"/>
  <c r="J29" i="223" s="1"/>
  <c r="N29" i="223" s="1"/>
  <c r="A41" i="212"/>
  <c r="C46" i="212"/>
  <c r="I107" i="215"/>
  <c r="F108" i="215"/>
  <c r="B108" i="215"/>
  <c r="B88" i="222"/>
  <c r="A88" i="222"/>
  <c r="E226" i="204"/>
  <c r="B61" i="204"/>
  <c r="B62" i="204" s="1"/>
  <c r="A67" i="203"/>
  <c r="A68" i="203" s="1"/>
  <c r="A69" i="203" s="1"/>
  <c r="A70" i="203" s="1"/>
  <c r="A71" i="203" s="1"/>
  <c r="A72" i="203" s="1"/>
  <c r="A73" i="203" s="1"/>
  <c r="A74" i="203" s="1"/>
  <c r="A75" i="203" s="1"/>
  <c r="A76" i="203" s="1"/>
  <c r="E23" i="216" l="1"/>
  <c r="H108" i="215"/>
  <c r="D109" i="215"/>
  <c r="E109" i="215" s="1"/>
  <c r="G108" i="215"/>
  <c r="P20" i="215"/>
  <c r="B63" i="204"/>
  <c r="B65" i="204" s="1"/>
  <c r="B66" i="204" s="1"/>
  <c r="E63" i="204"/>
  <c r="A42" i="212"/>
  <c r="A43" i="212" s="1"/>
  <c r="A45" i="212" s="1"/>
  <c r="D30" i="223"/>
  <c r="F30" i="223"/>
  <c r="J30" i="223" s="1"/>
  <c r="N30" i="223" s="1"/>
  <c r="R29" i="223"/>
  <c r="B78" i="203"/>
  <c r="A78" i="203"/>
  <c r="B52" i="203"/>
  <c r="C43" i="212" l="1"/>
  <c r="R21" i="216"/>
  <c r="A46" i="212"/>
  <c r="A47" i="212" s="1"/>
  <c r="A51" i="212" s="1"/>
  <c r="B67" i="204"/>
  <c r="B68" i="204" s="1"/>
  <c r="F109" i="215"/>
  <c r="B109" i="215"/>
  <c r="H34" i="223"/>
  <c r="H35" i="223"/>
  <c r="H33" i="223"/>
  <c r="F33" i="223"/>
  <c r="R30" i="223"/>
  <c r="I108" i="215"/>
  <c r="A79" i="203"/>
  <c r="A80" i="203" s="1"/>
  <c r="A81" i="203" s="1"/>
  <c r="A82" i="203" s="1"/>
  <c r="A86" i="203" s="1"/>
  <c r="E78" i="204" l="1"/>
  <c r="C47" i="212"/>
  <c r="D110" i="215"/>
  <c r="H109" i="215"/>
  <c r="G109" i="215"/>
  <c r="B69" i="204"/>
  <c r="B70" i="204" s="1"/>
  <c r="J33" i="223"/>
  <c r="N33" i="223" s="1"/>
  <c r="F34" i="223"/>
  <c r="A52" i="212"/>
  <c r="A53" i="212" s="1"/>
  <c r="E174" i="204" s="1"/>
  <c r="B82" i="203"/>
  <c r="B53" i="203"/>
  <c r="E79" i="204" l="1"/>
  <c r="B71" i="204"/>
  <c r="B72" i="204" s="1"/>
  <c r="F35" i="223"/>
  <c r="J34" i="223"/>
  <c r="N34" i="223" s="1"/>
  <c r="R34" i="223" s="1"/>
  <c r="R33" i="223"/>
  <c r="C53" i="212"/>
  <c r="I109" i="215"/>
  <c r="B110" i="215"/>
  <c r="E110" i="215"/>
  <c r="F110" i="215" s="1"/>
  <c r="H215" i="86"/>
  <c r="H214" i="86"/>
  <c r="L214" i="86"/>
  <c r="G156" i="86"/>
  <c r="E80" i="204" l="1"/>
  <c r="H110" i="215"/>
  <c r="D111" i="215"/>
  <c r="E111" i="215" s="1"/>
  <c r="G110" i="215"/>
  <c r="J35" i="223"/>
  <c r="N35" i="223" s="1"/>
  <c r="H38" i="223" s="1"/>
  <c r="F36" i="223"/>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H36" i="223"/>
  <c r="J36" i="223" s="1"/>
  <c r="N36" i="223" s="1"/>
  <c r="R36" i="223" s="1"/>
  <c r="H37" i="223"/>
  <c r="F111" i="215"/>
  <c r="B111" i="215"/>
  <c r="R35" i="223"/>
  <c r="F37" i="223"/>
  <c r="I110" i="215"/>
  <c r="B32" i="196"/>
  <c r="B22" i="196"/>
  <c r="N21" i="196"/>
  <c r="B23" i="196"/>
  <c r="J12" i="196"/>
  <c r="B39" i="196" s="1"/>
  <c r="B21" i="196"/>
  <c r="B24" i="196"/>
  <c r="B25" i="196"/>
  <c r="B26" i="196"/>
  <c r="B27" i="196"/>
  <c r="B28" i="196"/>
  <c r="B29" i="196"/>
  <c r="B30" i="196"/>
  <c r="B31" i="196"/>
  <c r="D38" i="193"/>
  <c r="D36" i="193"/>
  <c r="D21" i="193"/>
  <c r="G47" i="193"/>
  <c r="G42" i="193"/>
  <c r="G43" i="193" s="1"/>
  <c r="F42" i="193"/>
  <c r="F43" i="193" s="1"/>
  <c r="I25" i="193"/>
  <c r="I26" i="193" s="1"/>
  <c r="H25" i="193"/>
  <c r="H26" i="193" s="1"/>
  <c r="D45" i="193"/>
  <c r="E26" i="193"/>
  <c r="D41" i="193"/>
  <c r="F39" i="193"/>
  <c r="F46" i="193" s="1"/>
  <c r="B40" i="196" l="1"/>
  <c r="F47" i="193"/>
  <c r="B36" i="196"/>
  <c r="B35" i="196"/>
  <c r="J37" i="223"/>
  <c r="N37" i="223" s="1"/>
  <c r="F38" i="223"/>
  <c r="B79" i="204"/>
  <c r="H111" i="215"/>
  <c r="D112" i="215"/>
  <c r="E112" i="215" s="1"/>
  <c r="G111" i="215"/>
  <c r="J13" i="196"/>
  <c r="B38" i="196"/>
  <c r="B11" i="196"/>
  <c r="B37" i="196"/>
  <c r="D24" i="193"/>
  <c r="D42" i="193"/>
  <c r="F26" i="193"/>
  <c r="C71" i="216" l="1"/>
  <c r="S32" i="216" s="1"/>
  <c r="C71" i="215"/>
  <c r="Q31" i="215" s="1"/>
  <c r="B80" i="204"/>
  <c r="B81" i="204" s="1"/>
  <c r="B82" i="204" s="1"/>
  <c r="E26" i="204"/>
  <c r="B112" i="215"/>
  <c r="F112" i="215"/>
  <c r="F39" i="223"/>
  <c r="J38" i="223"/>
  <c r="N38" i="223" s="1"/>
  <c r="H41" i="223" s="1"/>
  <c r="I111" i="215"/>
  <c r="R37" i="223"/>
  <c r="D43" i="193"/>
  <c r="R38" i="223" l="1"/>
  <c r="H39" i="223"/>
  <c r="J39" i="223" s="1"/>
  <c r="N39" i="223" s="1"/>
  <c r="H112" i="215"/>
  <c r="G112" i="215"/>
  <c r="D113" i="215"/>
  <c r="E113" i="215" s="1"/>
  <c r="F40" i="223"/>
  <c r="B83" i="204"/>
  <c r="E83" i="204"/>
  <c r="H40" i="223"/>
  <c r="A87" i="203"/>
  <c r="I20" i="193"/>
  <c r="I22" i="193" s="1"/>
  <c r="I29" i="193" s="1"/>
  <c r="I30" i="193" s="1"/>
  <c r="H20" i="193"/>
  <c r="H22" i="193" s="1"/>
  <c r="H29" i="193" s="1"/>
  <c r="H30" i="193" s="1"/>
  <c r="B113" i="215" l="1"/>
  <c r="F113" i="215"/>
  <c r="R39" i="223"/>
  <c r="B86" i="204"/>
  <c r="B87" i="204" s="1"/>
  <c r="I112" i="215"/>
  <c r="F41" i="223"/>
  <c r="J40" i="223"/>
  <c r="N40" i="223" s="1"/>
  <c r="B88" i="203"/>
  <c r="E226" i="86"/>
  <c r="A88" i="203"/>
  <c r="E20" i="193"/>
  <c r="F29" i="193" l="1"/>
  <c r="J41" i="223"/>
  <c r="N41" i="223" s="1"/>
  <c r="H42" i="223" s="1"/>
  <c r="F42" i="223"/>
  <c r="R40" i="223"/>
  <c r="H113" i="215"/>
  <c r="D114" i="215"/>
  <c r="G113" i="215"/>
  <c r="B88" i="204"/>
  <c r="B89" i="204" s="1"/>
  <c r="B90" i="204" s="1"/>
  <c r="B91" i="204" s="1"/>
  <c r="B92" i="204" s="1"/>
  <c r="E22" i="193"/>
  <c r="K25" i="90" l="1"/>
  <c r="I113" i="215"/>
  <c r="K25" i="139"/>
  <c r="F30" i="193"/>
  <c r="H43" i="223"/>
  <c r="B114" i="215"/>
  <c r="F43" i="223"/>
  <c r="J42" i="223"/>
  <c r="N42" i="223" s="1"/>
  <c r="R42" i="223" s="1"/>
  <c r="B94" i="204"/>
  <c r="B96" i="204" s="1"/>
  <c r="B98" i="204" s="1"/>
  <c r="B100" i="204" s="1"/>
  <c r="B101" i="204" s="1"/>
  <c r="R41" i="223"/>
  <c r="H44" i="223"/>
  <c r="E92" i="204"/>
  <c r="E114" i="215"/>
  <c r="F114" i="215" s="1"/>
  <c r="E29" i="193"/>
  <c r="B6" i="193"/>
  <c r="B3" i="193"/>
  <c r="J25" i="90" l="1"/>
  <c r="J25" i="139"/>
  <c r="D115" i="215"/>
  <c r="E115" i="215" s="1"/>
  <c r="G114" i="215"/>
  <c r="H114" i="215"/>
  <c r="B102" i="204"/>
  <c r="B103" i="204" s="1"/>
  <c r="B104" i="204" s="1"/>
  <c r="B105" i="204" s="1"/>
  <c r="B106" i="204" s="1"/>
  <c r="B107" i="204" s="1"/>
  <c r="B108" i="204" s="1"/>
  <c r="B109" i="204" s="1"/>
  <c r="B111" i="204" s="1"/>
  <c r="B113" i="204" s="1"/>
  <c r="J43" i="223"/>
  <c r="N43" i="223" s="1"/>
  <c r="R43" i="223" s="1"/>
  <c r="F44" i="223"/>
  <c r="E30" i="193"/>
  <c r="J44" i="223" l="1"/>
  <c r="N44" i="223" s="1"/>
  <c r="R44" i="223" s="1"/>
  <c r="F48" i="223"/>
  <c r="E109" i="204"/>
  <c r="I114" i="215"/>
  <c r="C23" i="216"/>
  <c r="S21" i="216" s="1"/>
  <c r="C23" i="215"/>
  <c r="Q20" i="215" s="1"/>
  <c r="B128" i="204"/>
  <c r="D113" i="204"/>
  <c r="H50" i="223"/>
  <c r="B115" i="215"/>
  <c r="F115" i="215"/>
  <c r="H49" i="223" l="1"/>
  <c r="H48" i="223"/>
  <c r="J48" i="223" s="1"/>
  <c r="N48" i="223" s="1"/>
  <c r="D116" i="215"/>
  <c r="E116" i="215" s="1"/>
  <c r="G115" i="215"/>
  <c r="H115" i="215"/>
  <c r="B129" i="204"/>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9" i="193"/>
  <c r="A20" i="193" s="1"/>
  <c r="C51"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96" i="204"/>
  <c r="B130" i="204"/>
  <c r="I115" i="215"/>
  <c r="F116" i="215"/>
  <c r="B116" i="215"/>
  <c r="A21" i="193"/>
  <c r="A22" i="193" s="1"/>
  <c r="C20" i="193"/>
  <c r="H53" i="223" l="1"/>
  <c r="H56" i="223" s="1"/>
  <c r="H51" i="223"/>
  <c r="H52" i="223"/>
  <c r="B131" i="204"/>
  <c r="B132" i="204" s="1"/>
  <c r="B133" i="204" s="1"/>
  <c r="B134" i="204" s="1"/>
  <c r="H116" i="215"/>
  <c r="D117" i="215"/>
  <c r="G116" i="215"/>
  <c r="F219" i="86"/>
  <c r="A24" i="193"/>
  <c r="A25" i="193" s="1"/>
  <c r="A26" i="193" s="1"/>
  <c r="C25" i="193"/>
  <c r="C29" i="193"/>
  <c r="C22" i="193"/>
  <c r="H54" i="223" l="1"/>
  <c r="H55" i="223"/>
  <c r="E134" i="204"/>
  <c r="I116" i="215"/>
  <c r="B117" i="215"/>
  <c r="B136" i="204"/>
  <c r="E101" i="204"/>
  <c r="D290" i="204"/>
  <c r="H59" i="223"/>
  <c r="H58" i="223"/>
  <c r="H57" i="223"/>
  <c r="E117" i="215"/>
  <c r="F117" i="215" s="1"/>
  <c r="A28" i="193"/>
  <c r="A29" i="193" s="1"/>
  <c r="B15" i="190"/>
  <c r="B14" i="190"/>
  <c r="B13" i="190"/>
  <c r="D118" i="215" l="1"/>
  <c r="H117" i="215"/>
  <c r="G117" i="215"/>
  <c r="B137" i="204"/>
  <c r="A30" i="193"/>
  <c r="A36" i="193" s="1"/>
  <c r="A37" i="193" s="1"/>
  <c r="C52" i="193" s="1"/>
  <c r="C30" i="193"/>
  <c r="C26" i="193"/>
  <c r="B12" i="190"/>
  <c r="B16" i="190"/>
  <c r="E131" i="86" s="1"/>
  <c r="B11" i="190"/>
  <c r="K41" i="190"/>
  <c r="N41" i="190" s="1"/>
  <c r="K42" i="190"/>
  <c r="K43" i="190"/>
  <c r="N43" i="190" s="1"/>
  <c r="K44" i="190"/>
  <c r="N44" i="190" s="1"/>
  <c r="K40" i="190"/>
  <c r="N40" i="190" s="1"/>
  <c r="B18" i="190" l="1"/>
  <c r="B21" i="190" s="1"/>
  <c r="E143" i="204"/>
  <c r="B138" i="204"/>
  <c r="B139" i="204" s="1"/>
  <c r="B140" i="204" s="1"/>
  <c r="B141" i="204" s="1"/>
  <c r="B142" i="204" s="1"/>
  <c r="I117" i="215"/>
  <c r="B118" i="215"/>
  <c r="E118" i="215"/>
  <c r="F118" i="215" s="1"/>
  <c r="B20" i="190"/>
  <c r="A38" i="193"/>
  <c r="I8" i="190"/>
  <c r="I39" i="190"/>
  <c r="J39" i="190"/>
  <c r="K45" i="190"/>
  <c r="G96" i="86" s="1"/>
  <c r="J45" i="190"/>
  <c r="I45" i="190"/>
  <c r="B23" i="190" l="1"/>
  <c r="E133" i="86" s="1"/>
  <c r="B22" i="190"/>
  <c r="B19" i="190"/>
  <c r="H118" i="215"/>
  <c r="D119" i="215"/>
  <c r="E119" i="215" s="1"/>
  <c r="G118" i="215"/>
  <c r="B143" i="204"/>
  <c r="B144" i="204" s="1"/>
  <c r="B145" i="204" s="1"/>
  <c r="B146" i="204" s="1"/>
  <c r="B147" i="204" s="1"/>
  <c r="B148" i="204" s="1"/>
  <c r="E142" i="204"/>
  <c r="B25" i="190"/>
  <c r="B26" i="190" s="1"/>
  <c r="A39" i="193"/>
  <c r="A41" i="193" s="1"/>
  <c r="C42" i="193"/>
  <c r="C39" i="193"/>
  <c r="B28" i="190" l="1"/>
  <c r="E141" i="86" s="1"/>
  <c r="E148" i="204"/>
  <c r="B150" i="204"/>
  <c r="E150" i="204"/>
  <c r="F119" i="215"/>
  <c r="B119" i="215"/>
  <c r="I118" i="215"/>
  <c r="B27" i="190"/>
  <c r="A42" i="193"/>
  <c r="A43" i="193" s="1"/>
  <c r="A45" i="193" s="1"/>
  <c r="C46" i="193"/>
  <c r="B30" i="190" l="1"/>
  <c r="B31" i="190" s="1"/>
  <c r="H119" i="215"/>
  <c r="D120" i="215"/>
  <c r="E120" i="215" s="1"/>
  <c r="G119" i="215"/>
  <c r="B152" i="204"/>
  <c r="B153" i="204" s="1"/>
  <c r="C43" i="193"/>
  <c r="A46" i="193"/>
  <c r="A47" i="193" s="1"/>
  <c r="A51" i="193" s="1"/>
  <c r="A5" i="190"/>
  <c r="A2" i="190"/>
  <c r="I33" i="190"/>
  <c r="G147" i="86" s="1"/>
  <c r="I28" i="190"/>
  <c r="G141" i="86" s="1"/>
  <c r="I23" i="190"/>
  <c r="G133" i="86" s="1"/>
  <c r="I16" i="190"/>
  <c r="G131" i="86" s="1"/>
  <c r="B32" i="190" l="1"/>
  <c r="B33" i="190"/>
  <c r="E147" i="86" s="1"/>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9" i="190" l="1"/>
  <c r="B45" i="190" s="1"/>
  <c r="E96" i="86" s="1"/>
  <c r="B44" i="190"/>
  <c r="B40" i="190"/>
  <c r="B41" i="190"/>
  <c r="B43" i="190"/>
  <c r="B42" i="190"/>
  <c r="E156" i="204"/>
  <c r="H120" i="215"/>
  <c r="G120" i="215"/>
  <c r="D121" i="215"/>
  <c r="E121" i="215" s="1"/>
  <c r="B158" i="204"/>
  <c r="B159" i="204" s="1"/>
  <c r="B160" i="204" s="1"/>
  <c r="C53" i="193"/>
  <c r="I53" i="186"/>
  <c r="G94" i="86" s="1"/>
  <c r="L94" i="86" s="1"/>
  <c r="B161" i="204" l="1"/>
  <c r="B162" i="204" s="1"/>
  <c r="B163" i="204" s="1"/>
  <c r="B164" i="204" s="1"/>
  <c r="B165" i="204" s="1"/>
  <c r="B121" i="215"/>
  <c r="F121" i="215"/>
  <c r="I120" i="215"/>
  <c r="G16" i="189"/>
  <c r="F16" i="189"/>
  <c r="H15" i="189"/>
  <c r="H14" i="189"/>
  <c r="H13" i="189"/>
  <c r="H12" i="189"/>
  <c r="H11"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G56" i="86" l="1"/>
  <c r="F81" i="129"/>
  <c r="F81" i="143"/>
  <c r="B167" i="204"/>
  <c r="B168" i="204" s="1"/>
  <c r="H121" i="215"/>
  <c r="D122" i="215"/>
  <c r="E122" i="215" s="1"/>
  <c r="G121" i="215"/>
  <c r="E165" i="204"/>
  <c r="G68" i="86"/>
  <c r="E71" i="86"/>
  <c r="E70" i="86"/>
  <c r="A31" i="188"/>
  <c r="A32" i="188" s="1"/>
  <c r="A33" i="188" s="1"/>
  <c r="A34" i="188" s="1"/>
  <c r="A35" i="188" s="1"/>
  <c r="A36" i="188" s="1"/>
  <c r="A37" i="188" s="1"/>
  <c r="A38" i="188" s="1"/>
  <c r="A39" i="188" s="1"/>
  <c r="A40" i="188" s="1"/>
  <c r="A41" i="188" s="1"/>
  <c r="A42" i="188" s="1"/>
  <c r="A43" i="188" s="1"/>
  <c r="A44" i="188" s="1"/>
  <c r="E69" i="86"/>
  <c r="H16" i="189"/>
  <c r="G98" i="86" s="1"/>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C81" i="143" l="1"/>
  <c r="C81" i="129"/>
  <c r="F122" i="215"/>
  <c r="B122" i="215"/>
  <c r="I121" i="215"/>
  <c r="C30" i="216"/>
  <c r="S22" i="216" s="1"/>
  <c r="C30" i="215"/>
  <c r="Q21" i="215" s="1"/>
  <c r="D316"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D208" i="86" l="1"/>
  <c r="D207" i="86"/>
  <c r="I122" i="215"/>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94"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F130" i="215"/>
  <c r="B130" i="215"/>
  <c r="I129" i="215"/>
  <c r="B227" i="204" l="1"/>
  <c r="B228" i="204" s="1"/>
  <c r="B229" i="204" s="1"/>
  <c r="B230" i="204" s="1"/>
  <c r="B231" i="204" s="1"/>
  <c r="B232" i="204" s="1"/>
  <c r="D237" i="204" s="1"/>
  <c r="D131" i="215"/>
  <c r="E131" i="215" s="1"/>
  <c r="G130" i="215"/>
  <c r="H130" i="215"/>
  <c r="I130" i="215" l="1"/>
  <c r="B234" i="204"/>
  <c r="B235" i="204" s="1"/>
  <c r="E232" i="204"/>
  <c r="B131" i="215"/>
  <c r="F131" i="215"/>
  <c r="D132" i="215" l="1"/>
  <c r="E132" i="215" s="1"/>
  <c r="G131" i="215"/>
  <c r="H131" i="215"/>
  <c r="B236" i="204"/>
  <c r="I131" i="215" l="1"/>
  <c r="B237" i="204"/>
  <c r="D332" i="204" s="1"/>
  <c r="D229" i="204"/>
  <c r="F132" i="215"/>
  <c r="B132" i="215"/>
  <c r="H132" i="215" l="1"/>
  <c r="D133" i="215"/>
  <c r="E133" i="215" s="1"/>
  <c r="G132" i="215"/>
  <c r="C11" i="216"/>
  <c r="S14" i="216" s="1"/>
  <c r="C11" i="215"/>
  <c r="Q13" i="215" s="1"/>
  <c r="B238" i="204"/>
  <c r="B241" i="204" s="1"/>
  <c r="B242" i="204" s="1"/>
  <c r="B243" i="204" s="1"/>
  <c r="B244" i="204" s="1"/>
  <c r="B245" i="204" s="1"/>
  <c r="D238" i="204"/>
  <c r="C14" i="215"/>
  <c r="C14" i="216"/>
  <c r="B246" i="204" l="1"/>
  <c r="B247" i="204" s="1"/>
  <c r="B248" i="204" s="1"/>
  <c r="B249" i="204" s="1"/>
  <c r="F133" i="215"/>
  <c r="B133" i="215"/>
  <c r="B79" i="222"/>
  <c r="E184" i="204"/>
  <c r="D170" i="204"/>
  <c r="I132" i="215"/>
  <c r="E249" i="204" l="1"/>
  <c r="D254" i="204"/>
  <c r="B251" i="204"/>
  <c r="B252" i="204" s="1"/>
  <c r="D134" i="215"/>
  <c r="H133" i="215"/>
  <c r="G133" i="215"/>
  <c r="B253" i="204" l="1"/>
  <c r="B134" i="215"/>
  <c r="I133" i="215"/>
  <c r="E134" i="215"/>
  <c r="F134" i="215" s="1"/>
  <c r="D246" i="204" l="1"/>
  <c r="B254" i="204"/>
  <c r="H134" i="215"/>
  <c r="D135" i="215"/>
  <c r="E135" i="215" s="1"/>
  <c r="G134" i="215"/>
  <c r="B255" i="204" l="1"/>
  <c r="D255" i="204"/>
  <c r="F135" i="215"/>
  <c r="B135" i="215"/>
  <c r="I134" i="215"/>
  <c r="A12" i="189"/>
  <c r="A13" i="189" s="1"/>
  <c r="A14" i="189" s="1"/>
  <c r="A15" i="189" s="1"/>
  <c r="A16" i="189" s="1"/>
  <c r="E98" i="86" s="1"/>
  <c r="H135" i="215" l="1"/>
  <c r="D136" i="215"/>
  <c r="E136" i="215" s="1"/>
  <c r="G135" i="215"/>
  <c r="B136" i="215" l="1"/>
  <c r="F136" i="215"/>
  <c r="I135" i="215"/>
  <c r="H136" i="215" l="1"/>
  <c r="G136" i="215"/>
  <c r="D137" i="215"/>
  <c r="E137" i="215" s="1"/>
  <c r="B137" i="215" l="1"/>
  <c r="F137" i="215"/>
  <c r="I136" i="215"/>
  <c r="H137" i="215" l="1"/>
  <c r="D138" i="215"/>
  <c r="E138" i="215" s="1"/>
  <c r="G137" i="215"/>
  <c r="L92" i="129"/>
  <c r="D50" i="39"/>
  <c r="G140" i="86" s="1"/>
  <c r="E41" i="39"/>
  <c r="L20" i="96"/>
  <c r="L19" i="96"/>
  <c r="L18" i="96"/>
  <c r="L14" i="96"/>
  <c r="L12" i="96"/>
  <c r="G82" i="86"/>
  <c r="L59" i="86"/>
  <c r="L216" i="86"/>
  <c r="P34" i="143"/>
  <c r="G25" i="147"/>
  <c r="G24" i="147"/>
  <c r="M26" i="147"/>
  <c r="N28" i="139"/>
  <c r="M28" i="139"/>
  <c r="L28" i="139"/>
  <c r="K28" i="139"/>
  <c r="J28" i="139"/>
  <c r="K27" i="139"/>
  <c r="J27" i="139"/>
  <c r="H29" i="139"/>
  <c r="H11" i="145" s="1"/>
  <c r="H64" i="139"/>
  <c r="D44" i="89" s="1"/>
  <c r="N41" i="139"/>
  <c r="M41" i="139"/>
  <c r="L41" i="139"/>
  <c r="K41" i="139"/>
  <c r="J41" i="139"/>
  <c r="N40" i="139"/>
  <c r="M40" i="139"/>
  <c r="L40" i="139"/>
  <c r="K40" i="139"/>
  <c r="J40" i="139"/>
  <c r="N37" i="139"/>
  <c r="M37" i="139"/>
  <c r="M24" i="78"/>
  <c r="B16" i="147"/>
  <c r="B18" i="147" s="1"/>
  <c r="B20" i="147" s="1"/>
  <c r="B22" i="147" s="1"/>
  <c r="B23" i="147" s="1"/>
  <c r="B24" i="147" s="1"/>
  <c r="B25" i="147" s="1"/>
  <c r="B26" i="147" s="1"/>
  <c r="M16" i="78"/>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D20" i="89"/>
  <c r="J33" i="139"/>
  <c r="L10" i="139"/>
  <c r="F50" i="39"/>
  <c r="G146" i="86" s="1"/>
  <c r="L146" i="86" s="1"/>
  <c r="F23" i="94"/>
  <c r="F19" i="94"/>
  <c r="F15" i="94"/>
  <c r="F11" i="94"/>
  <c r="M33" i="78"/>
  <c r="G40" i="153"/>
  <c r="P40" i="153"/>
  <c r="M40" i="153"/>
  <c r="L40" i="153"/>
  <c r="I40" i="153"/>
  <c r="E40" i="153"/>
  <c r="Q23" i="153"/>
  <c r="S23" i="153" s="1"/>
  <c r="P55" i="153"/>
  <c r="O55" i="153"/>
  <c r="N55" i="153"/>
  <c r="L55" i="153"/>
  <c r="K55" i="153"/>
  <c r="J55" i="153"/>
  <c r="I55" i="153"/>
  <c r="H55" i="153"/>
  <c r="G55" i="153"/>
  <c r="E55" i="153"/>
  <c r="P51" i="153"/>
  <c r="P54" i="153" s="1"/>
  <c r="O51" i="153"/>
  <c r="O54" i="153" s="1"/>
  <c r="M51" i="153"/>
  <c r="M54" i="153" s="1"/>
  <c r="L51" i="153"/>
  <c r="K51" i="153"/>
  <c r="K54" i="153" s="1"/>
  <c r="I51" i="153"/>
  <c r="I54" i="153" s="1"/>
  <c r="H51" i="153"/>
  <c r="H54" i="153" s="1"/>
  <c r="G51" i="153"/>
  <c r="G54" i="153" s="1"/>
  <c r="E51" i="153"/>
  <c r="E54" i="153" s="1"/>
  <c r="Q53" i="153"/>
  <c r="S53" i="153" s="1"/>
  <c r="Q52" i="153"/>
  <c r="S52" i="153" s="1"/>
  <c r="B25" i="149"/>
  <c r="B14" i="149"/>
  <c r="F6" i="147"/>
  <c r="G14" i="147"/>
  <c r="D28" i="149"/>
  <c r="H20" i="149"/>
  <c r="H17" i="149"/>
  <c r="H16" i="149"/>
  <c r="B16" i="149"/>
  <c r="B17" i="149" s="1"/>
  <c r="B18"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J98" i="129"/>
  <c r="N19" i="143"/>
  <c r="M19" i="143"/>
  <c r="L19" i="143"/>
  <c r="L23" i="86" s="1"/>
  <c r="K23" i="147" s="1"/>
  <c r="B11" i="178" s="1"/>
  <c r="P14" i="143"/>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F31" i="39"/>
  <c r="G144" i="86" s="1"/>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60" i="86" s="1"/>
  <c r="F41" i="39"/>
  <c r="G145" i="86" s="1"/>
  <c r="G21" i="91"/>
  <c r="G132" i="86" s="1"/>
  <c r="G52" i="74"/>
  <c r="D61" i="89"/>
  <c r="D62" i="89" s="1"/>
  <c r="G91" i="86" s="1"/>
  <c r="L43" i="139"/>
  <c r="N43" i="139"/>
  <c r="F37" i="89"/>
  <c r="M43" i="139"/>
  <c r="G59" i="89"/>
  <c r="G61" i="89" s="1"/>
  <c r="G62" i="89" s="1"/>
  <c r="J43" i="139"/>
  <c r="A16" i="39"/>
  <c r="A17" i="39" s="1"/>
  <c r="A18" i="39" s="1"/>
  <c r="A19" i="39" s="1"/>
  <c r="A20" i="39" s="1"/>
  <c r="A21" i="39" s="1"/>
  <c r="A22" i="39" s="1"/>
  <c r="A23" i="39" s="1"/>
  <c r="A24" i="39" s="1"/>
  <c r="A25" i="39" s="1"/>
  <c r="A26" i="39" s="1"/>
  <c r="A27" i="39" s="1"/>
  <c r="A28" i="39" s="1"/>
  <c r="A29" i="39" s="1"/>
  <c r="A31" i="39" s="1"/>
  <c r="A16" i="78"/>
  <c r="A17" i="78" s="1"/>
  <c r="A19" i="78" s="1"/>
  <c r="A20" i="78" s="1"/>
  <c r="A21" i="78" s="1"/>
  <c r="A22" i="78" s="1"/>
  <c r="A23" i="78" s="1"/>
  <c r="A24" i="78" s="1"/>
  <c r="A26" i="78" s="1"/>
  <c r="A27" i="78" s="1"/>
  <c r="A28" i="78" s="1"/>
  <c r="A29" i="78" s="1"/>
  <c r="A30" i="78" s="1"/>
  <c r="A32" i="78" s="1"/>
  <c r="A33" i="78" s="1"/>
  <c r="A34" i="78" s="1"/>
  <c r="A35" i="78" s="1"/>
  <c r="A37" i="78" s="1"/>
  <c r="A38" i="78" s="1"/>
  <c r="A39" i="78" s="1"/>
  <c r="A40" i="78" s="1"/>
  <c r="A41" i="78" s="1"/>
  <c r="A42" i="78" s="1"/>
  <c r="A43" i="78" s="1"/>
  <c r="A44" i="78" s="1"/>
  <c r="A45" i="78" s="1"/>
  <c r="A46" i="78" s="1"/>
  <c r="A47" i="78" s="1"/>
  <c r="A48" i="78" s="1"/>
  <c r="A49" i="78" s="1"/>
  <c r="A50" i="78" s="1"/>
  <c r="A51" i="78" s="1"/>
  <c r="A52" i="78" s="1"/>
  <c r="A54" i="78" s="1"/>
  <c r="C57" i="78" s="1"/>
  <c r="E37" i="89"/>
  <c r="G189" i="78"/>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62" i="86" s="1"/>
  <c r="F42" i="86"/>
  <c r="F116" i="86" s="1"/>
  <c r="F196" i="86" s="1"/>
  <c r="F258" i="86" s="1"/>
  <c r="F43" i="86"/>
  <c r="F117" i="86" s="1"/>
  <c r="F197" i="86" s="1"/>
  <c r="F259" i="86" s="1"/>
  <c r="B52" i="86"/>
  <c r="B126" i="86" s="1"/>
  <c r="B53" i="86"/>
  <c r="B127" i="86" s="1"/>
  <c r="D66" i="86"/>
  <c r="D78" i="86" s="1"/>
  <c r="D68" i="86"/>
  <c r="D79" i="86" s="1"/>
  <c r="D70" i="86"/>
  <c r="D80" i="86" s="1"/>
  <c r="D72" i="86"/>
  <c r="D81" i="86" s="1"/>
  <c r="D74" i="86"/>
  <c r="D82" i="86" s="1"/>
  <c r="E124" i="86"/>
  <c r="L124" i="86"/>
  <c r="E125" i="86"/>
  <c r="G125" i="86"/>
  <c r="I125" i="86"/>
  <c r="L125" i="86"/>
  <c r="D291" i="86"/>
  <c r="A20" i="89"/>
  <c r="A22" i="89" s="1"/>
  <c r="A23" i="89" s="1"/>
  <c r="O20" i="129"/>
  <c r="F11" i="129"/>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D33" i="89"/>
  <c r="L60" i="139"/>
  <c r="M48" i="139"/>
  <c r="M10" i="139"/>
  <c r="N10" i="139"/>
  <c r="J51" i="153"/>
  <c r="J54" i="153" s="1"/>
  <c r="D52" i="74"/>
  <c r="L35" i="139"/>
  <c r="N51" i="153"/>
  <c r="N54" i="153" s="1"/>
  <c r="N60" i="139"/>
  <c r="K60" i="139"/>
  <c r="M60" i="139"/>
  <c r="G186" i="86"/>
  <c r="L186" i="86" s="1"/>
  <c r="L33" i="139"/>
  <c r="N33" i="139"/>
  <c r="K33" i="139"/>
  <c r="M33" i="139"/>
  <c r="L62" i="139"/>
  <c r="K62" i="139"/>
  <c r="N62" i="139"/>
  <c r="J62" i="139"/>
  <c r="M62" i="139"/>
  <c r="M55" i="153"/>
  <c r="J48" i="139"/>
  <c r="N48" i="139"/>
  <c r="L48" i="139"/>
  <c r="K48" i="139"/>
  <c r="O40" i="153"/>
  <c r="F40" i="153"/>
  <c r="J40" i="153"/>
  <c r="Q17" i="153"/>
  <c r="S17" i="153" s="1"/>
  <c r="Q19" i="153"/>
  <c r="S19" i="153" s="1"/>
  <c r="Q21" i="153"/>
  <c r="S21" i="153" s="1"/>
  <c r="Q30" i="153"/>
  <c r="S30" i="153" s="1"/>
  <c r="K40" i="153"/>
  <c r="N40" i="153"/>
  <c r="Q16" i="153"/>
  <c r="S16" i="153" s="1"/>
  <c r="N57" i="153"/>
  <c r="Q14" i="153"/>
  <c r="S14" i="153" s="1"/>
  <c r="L57" i="153"/>
  <c r="Q15" i="153"/>
  <c r="S15" i="153" s="1"/>
  <c r="Q20" i="153"/>
  <c r="S20" i="153" s="1"/>
  <c r="Q27" i="153"/>
  <c r="S27" i="153" s="1"/>
  <c r="Q31" i="153"/>
  <c r="S31" i="153" s="1"/>
  <c r="F57" i="153"/>
  <c r="I57" i="153"/>
  <c r="G57" i="153"/>
  <c r="Q18" i="153"/>
  <c r="S18" i="153" s="1"/>
  <c r="O57" i="153"/>
  <c r="Q22" i="153"/>
  <c r="S22" i="153" s="1"/>
  <c r="Q26" i="153"/>
  <c r="S26" i="153" s="1"/>
  <c r="H40" i="153"/>
  <c r="K57" i="153"/>
  <c r="Q24" i="153"/>
  <c r="S24" i="153" s="1"/>
  <c r="Q25" i="153"/>
  <c r="S25" i="153" s="1"/>
  <c r="Q28" i="153"/>
  <c r="S28" i="153" s="1"/>
  <c r="Q29" i="153"/>
  <c r="S29" i="153" s="1"/>
  <c r="M57" i="153"/>
  <c r="H57" i="153"/>
  <c r="F51" i="153"/>
  <c r="F54" i="153" s="1"/>
  <c r="P57" i="153"/>
  <c r="E57" i="153"/>
  <c r="F55" i="153"/>
  <c r="J57" i="153"/>
  <c r="G104" i="86"/>
  <c r="M61" i="139"/>
  <c r="J61" i="139"/>
  <c r="L61" i="139"/>
  <c r="N61" i="139"/>
  <c r="K61" i="139"/>
  <c r="J60" i="139"/>
  <c r="M35" i="139"/>
  <c r="J35" i="139"/>
  <c r="K35" i="139"/>
  <c r="N35" i="139"/>
  <c r="L20" i="129"/>
  <c r="E50" i="39"/>
  <c r="C20" i="52"/>
  <c r="C22" i="52" s="1"/>
  <c r="G103" i="86"/>
  <c r="D41" i="39"/>
  <c r="G139" i="86" s="1"/>
  <c r="H216" i="86"/>
  <c r="K22" i="96"/>
  <c r="H218" i="86"/>
  <c r="L218" i="86"/>
  <c r="G143" i="86"/>
  <c r="L67" i="86"/>
  <c r="L70" i="86"/>
  <c r="I54" i="78"/>
  <c r="G160" i="86" s="1"/>
  <c r="G219" i="86"/>
  <c r="J15" i="149"/>
  <c r="J18" i="149" s="1"/>
  <c r="J22" i="149" s="1"/>
  <c r="B13" i="196" s="1"/>
  <c r="F13" i="196" s="1"/>
  <c r="L17" i="96"/>
  <c r="M22" i="96"/>
  <c r="L71" i="86"/>
  <c r="G54" i="78"/>
  <c r="G162" i="86" s="1"/>
  <c r="H217" i="86"/>
  <c r="L217" i="86"/>
  <c r="E31" i="39"/>
  <c r="D31" i="39"/>
  <c r="G138" i="86" s="1"/>
  <c r="E54" i="78"/>
  <c r="L18" i="149"/>
  <c r="O155" i="143" l="1"/>
  <c r="F104" i="143"/>
  <c r="D105" i="143" s="1"/>
  <c r="B105" i="143" s="1"/>
  <c r="O120" i="143"/>
  <c r="O146" i="143"/>
  <c r="O124" i="143"/>
  <c r="O107" i="143"/>
  <c r="F61" i="129"/>
  <c r="R31" i="129" s="1"/>
  <c r="K40" i="94"/>
  <c r="O110" i="143"/>
  <c r="O114" i="143"/>
  <c r="O118" i="143"/>
  <c r="O122" i="143"/>
  <c r="O126" i="143"/>
  <c r="I40" i="94"/>
  <c r="O105" i="143"/>
  <c r="O117" i="143"/>
  <c r="O129" i="143"/>
  <c r="O137" i="143"/>
  <c r="O134" i="143"/>
  <c r="O154" i="143"/>
  <c r="O136" i="143"/>
  <c r="O140" i="143"/>
  <c r="A46" i="94"/>
  <c r="A48" i="94" s="1"/>
  <c r="A50" i="94" s="1"/>
  <c r="A51" i="94" s="1"/>
  <c r="A52" i="94" s="1"/>
  <c r="A53" i="94" s="1"/>
  <c r="D47" i="94"/>
  <c r="B20" i="149"/>
  <c r="B22" i="149" s="1"/>
  <c r="B26" i="149" s="1"/>
  <c r="B28" i="149" s="1"/>
  <c r="O148" i="143"/>
  <c r="F13" i="129"/>
  <c r="E18" i="129" s="1"/>
  <c r="R14" i="129"/>
  <c r="O143" i="143"/>
  <c r="O147" i="143"/>
  <c r="O159" i="143"/>
  <c r="L22" i="149"/>
  <c r="B13" i="225"/>
  <c r="F13" i="225" s="1"/>
  <c r="P44" i="196"/>
  <c r="D21" i="196"/>
  <c r="F56" i="153"/>
  <c r="K26" i="147"/>
  <c r="K56" i="153"/>
  <c r="I56" i="153"/>
  <c r="P56" i="153"/>
  <c r="N56" i="153"/>
  <c r="M56" i="153"/>
  <c r="H33" i="89"/>
  <c r="I20" i="89"/>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17" i="86" s="1"/>
  <c r="G168" i="86" s="1"/>
  <c r="F30" i="143" s="1"/>
  <c r="P21" i="143" s="1"/>
  <c r="O142" i="143"/>
  <c r="O149" i="143"/>
  <c r="O157" i="143"/>
  <c r="Q40" i="153"/>
  <c r="S40" i="153" s="1"/>
  <c r="O56" i="153"/>
  <c r="G33" i="89"/>
  <c r="Q46" i="153"/>
  <c r="S46" i="153" s="1"/>
  <c r="O111" i="143"/>
  <c r="O119" i="143"/>
  <c r="O123" i="143"/>
  <c r="O127" i="143"/>
  <c r="O131" i="143"/>
  <c r="O139" i="143"/>
  <c r="O112" i="143"/>
  <c r="H47" i="145"/>
  <c r="O151" i="143"/>
  <c r="I52" i="74"/>
  <c r="G106" i="86" s="1"/>
  <c r="G107" i="86"/>
  <c r="E52" i="74"/>
  <c r="J52" i="74"/>
  <c r="H219" i="86"/>
  <c r="G16" i="147"/>
  <c r="G134" i="86"/>
  <c r="G101" i="86" s="1"/>
  <c r="J236" i="86"/>
  <c r="M54" i="78"/>
  <c r="G163" i="86" s="1"/>
  <c r="L163" i="86" s="1"/>
  <c r="B21" i="91"/>
  <c r="E132" i="86" s="1"/>
  <c r="F21" i="91"/>
  <c r="O116" i="143"/>
  <c r="O121" i="143"/>
  <c r="O128" i="143"/>
  <c r="O130" i="143"/>
  <c r="O132" i="143"/>
  <c r="O141" i="143"/>
  <c r="O150" i="143"/>
  <c r="O158" i="143"/>
  <c r="O106" i="143"/>
  <c r="O115" i="143"/>
  <c r="O125" i="143"/>
  <c r="O153" i="143"/>
  <c r="H20" i="89"/>
  <c r="K64" i="139"/>
  <c r="F44" i="89" s="1"/>
  <c r="M64" i="139"/>
  <c r="H44" i="89" s="1"/>
  <c r="A24" i="89"/>
  <c r="A25" i="89" s="1"/>
  <c r="A26" i="89" s="1"/>
  <c r="A27" i="89" s="1"/>
  <c r="A32" i="89" s="1"/>
  <c r="A33" i="89" s="1"/>
  <c r="A35" i="89" s="1"/>
  <c r="A36" i="89" s="1"/>
  <c r="A37" i="89" s="1"/>
  <c r="A38" i="89" s="1"/>
  <c r="A44" i="89" s="1"/>
  <c r="A45" i="89" s="1"/>
  <c r="A47" i="89" s="1"/>
  <c r="A48" i="89" s="1"/>
  <c r="L66" i="86"/>
  <c r="L55" i="86"/>
  <c r="Q57" i="153"/>
  <c r="A37" i="153"/>
  <c r="F26" i="149"/>
  <c r="Q33" i="153"/>
  <c r="J56" i="153"/>
  <c r="H56" i="153"/>
  <c r="G28" i="147"/>
  <c r="B28" i="147"/>
  <c r="H15" i="149"/>
  <c r="H18" i="149" s="1"/>
  <c r="H22" i="149" s="1"/>
  <c r="I18" i="147"/>
  <c r="N44" i="139"/>
  <c r="I32" i="89" s="1"/>
  <c r="G20" i="89"/>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G142" i="86"/>
  <c r="G148" i="86" s="1"/>
  <c r="R35" i="129"/>
  <c r="B22" i="52"/>
  <c r="C44" i="89"/>
  <c r="I23" i="147"/>
  <c r="I26" i="147" s="1"/>
  <c r="I97" i="143"/>
  <c r="B20" i="52"/>
  <c r="M52" i="96"/>
  <c r="G14" i="86" s="1"/>
  <c r="L14" i="86" s="1"/>
  <c r="K16" i="147" s="1"/>
  <c r="I16" i="147" s="1"/>
  <c r="D47" i="89"/>
  <c r="D48" i="89" s="1"/>
  <c r="G90" i="86" s="1"/>
  <c r="P13" i="143"/>
  <c r="D19" i="89"/>
  <c r="D22" i="89" s="1"/>
  <c r="D23" i="89" s="1"/>
  <c r="D25" i="89" s="1"/>
  <c r="I32" i="147"/>
  <c r="E18" i="86"/>
  <c r="B18" i="86"/>
  <c r="N64" i="139"/>
  <c r="I44" i="89" s="1"/>
  <c r="C33" i="89"/>
  <c r="C45" i="89"/>
  <c r="L44" i="139"/>
  <c r="G32" i="89" s="1"/>
  <c r="N29" i="139"/>
  <c r="I19" i="89" s="1"/>
  <c r="E144" i="86"/>
  <c r="A34" i="39"/>
  <c r="A35" i="39" s="1"/>
  <c r="A36" i="39" s="1"/>
  <c r="A37" i="39" s="1"/>
  <c r="A38" i="39" s="1"/>
  <c r="A41" i="39" s="1"/>
  <c r="M44" i="139"/>
  <c r="H32" i="89" s="1"/>
  <c r="L29" i="139"/>
  <c r="G19" i="89" s="1"/>
  <c r="G56" i="153"/>
  <c r="L54" i="153"/>
  <c r="L56" i="153" s="1"/>
  <c r="Q51" i="153"/>
  <c r="S51" i="153" s="1"/>
  <c r="O135" i="143"/>
  <c r="O144" i="143"/>
  <c r="Q55" i="153"/>
  <c r="S55" i="153" s="1"/>
  <c r="E56" i="153"/>
  <c r="L64" i="139"/>
  <c r="G44" i="89" s="1"/>
  <c r="I33" i="89"/>
  <c r="K54" i="78"/>
  <c r="G164" i="86" s="1"/>
  <c r="J64" i="139"/>
  <c r="M29" i="139"/>
  <c r="H19" i="89" s="1"/>
  <c r="L58" i="86"/>
  <c r="L80" i="86" s="1"/>
  <c r="G80" i="86"/>
  <c r="G81" i="86"/>
  <c r="G75" i="86"/>
  <c r="F83" i="143"/>
  <c r="F84" i="143" s="1"/>
  <c r="F85" i="143" s="1"/>
  <c r="L206" i="86"/>
  <c r="J64" i="86"/>
  <c r="H26" i="89" s="1"/>
  <c r="B52" i="96"/>
  <c r="C52" i="96"/>
  <c r="O104" i="143"/>
  <c r="E105" i="143" l="1"/>
  <c r="F105" i="143" s="1"/>
  <c r="H105" i="143" s="1"/>
  <c r="F22" i="149"/>
  <c r="B32" i="147"/>
  <c r="B34" i="147" s="1"/>
  <c r="I45" i="145"/>
  <c r="I46" i="145" s="1"/>
  <c r="I47" i="145" s="1"/>
  <c r="I48" i="145" s="1"/>
  <c r="I49" i="145" s="1"/>
  <c r="I50" i="145" s="1"/>
  <c r="I51" i="145" s="1"/>
  <c r="I52" i="145" s="1"/>
  <c r="I53" i="145" s="1"/>
  <c r="I54" i="145" s="1"/>
  <c r="I55" i="145" s="1"/>
  <c r="I56" i="145" s="1"/>
  <c r="I58" i="145" s="1"/>
  <c r="E44" i="89"/>
  <c r="E47" i="89" s="1"/>
  <c r="E48" i="89" s="1"/>
  <c r="E50" i="89" s="1"/>
  <c r="E52" i="89" s="1"/>
  <c r="P64" i="139"/>
  <c r="Q64" i="139" s="1"/>
  <c r="S33" i="153"/>
  <c r="H26" i="149" s="1"/>
  <c r="L26" i="149" s="1"/>
  <c r="L28" i="149" s="1"/>
  <c r="M36" i="147"/>
  <c r="A38" i="153"/>
  <c r="A39" i="153" s="1"/>
  <c r="E88" i="86"/>
  <c r="D21" i="225"/>
  <c r="P44" i="225"/>
  <c r="S48" i="153"/>
  <c r="S57" i="153"/>
  <c r="R30" i="153"/>
  <c r="R32" i="153"/>
  <c r="F22" i="196"/>
  <c r="J22" i="196" s="1"/>
  <c r="N22" i="196" s="1"/>
  <c r="D22" i="196"/>
  <c r="P21" i="196"/>
  <c r="R14" i="153"/>
  <c r="R31" i="153"/>
  <c r="R16" i="153"/>
  <c r="R15" i="153"/>
  <c r="R27" i="153"/>
  <c r="R19" i="153"/>
  <c r="I47" i="89"/>
  <c r="I48" i="89" s="1"/>
  <c r="I50" i="89" s="1"/>
  <c r="G47" i="89"/>
  <c r="G48" i="89" s="1"/>
  <c r="G50" i="89" s="1"/>
  <c r="H35" i="89"/>
  <c r="H36" i="89" s="1"/>
  <c r="G35" i="89"/>
  <c r="G36" i="89" s="1"/>
  <c r="F30" i="129"/>
  <c r="R22" i="129" s="1"/>
  <c r="G172" i="86"/>
  <c r="G178" i="86" s="1"/>
  <c r="I22" i="89"/>
  <c r="I23" i="89" s="1"/>
  <c r="I25" i="89" s="1"/>
  <c r="D139" i="215"/>
  <c r="E139" i="215" s="1"/>
  <c r="G138" i="215"/>
  <c r="H138" i="215"/>
  <c r="H47" i="89"/>
  <c r="H48" i="89" s="1"/>
  <c r="H50" i="89" s="1"/>
  <c r="F47" i="89"/>
  <c r="F48" i="89" s="1"/>
  <c r="H22" i="89"/>
  <c r="H23" i="89" s="1"/>
  <c r="H25" i="89" s="1"/>
  <c r="H27" i="89" s="1"/>
  <c r="A37" i="145"/>
  <c r="C24" i="89"/>
  <c r="Q54" i="153"/>
  <c r="S54" i="153" s="1"/>
  <c r="M55" i="78"/>
  <c r="L107" i="86"/>
  <c r="G105" i="86"/>
  <c r="G108" i="86"/>
  <c r="L108" i="86" s="1"/>
  <c r="H18" i="145"/>
  <c r="I18" i="145" s="1"/>
  <c r="I35" i="89"/>
  <c r="I36" i="89" s="1"/>
  <c r="G165" i="86"/>
  <c r="G150" i="86"/>
  <c r="J23" i="149"/>
  <c r="L23" i="149" s="1"/>
  <c r="H13" i="145"/>
  <c r="H14" i="145" s="1"/>
  <c r="C19" i="145" s="1"/>
  <c r="H19" i="145" s="1"/>
  <c r="E17" i="129"/>
  <c r="R19" i="129" s="1"/>
  <c r="E17" i="143"/>
  <c r="P18" i="143" s="1"/>
  <c r="C61" i="143"/>
  <c r="Q30" i="143" s="1"/>
  <c r="B40" i="94"/>
  <c r="C61" i="129"/>
  <c r="S31" i="129" s="1"/>
  <c r="C53" i="94"/>
  <c r="G105" i="143"/>
  <c r="D106" i="143"/>
  <c r="E89" i="86"/>
  <c r="R26" i="153"/>
  <c r="R28" i="153"/>
  <c r="R21" i="153"/>
  <c r="R17" i="153"/>
  <c r="R22" i="153"/>
  <c r="R25" i="153"/>
  <c r="R20" i="153"/>
  <c r="R18" i="153"/>
  <c r="R29" i="153"/>
  <c r="R23" i="153"/>
  <c r="R24" i="153"/>
  <c r="G22" i="89"/>
  <c r="G23" i="89" s="1"/>
  <c r="B34" i="145"/>
  <c r="D45" i="145"/>
  <c r="D46" i="145" s="1"/>
  <c r="D47" i="145" s="1"/>
  <c r="D48" i="145" s="1"/>
  <c r="D49" i="145" s="1"/>
  <c r="D50" i="145" s="1"/>
  <c r="D51" i="145" s="1"/>
  <c r="D52" i="145" s="1"/>
  <c r="D53" i="145" s="1"/>
  <c r="D54" i="145" s="1"/>
  <c r="D55" i="145" s="1"/>
  <c r="D56" i="145" s="1"/>
  <c r="D58" i="145" s="1"/>
  <c r="F83" i="129"/>
  <c r="F84" i="129" s="1"/>
  <c r="F85" i="129" s="1"/>
  <c r="D50" i="89"/>
  <c r="G88" i="86"/>
  <c r="A44" i="39"/>
  <c r="A45" i="39" s="1"/>
  <c r="A46" i="39" s="1"/>
  <c r="A47" i="39" s="1"/>
  <c r="A48" i="39" s="1"/>
  <c r="A50" i="39" s="1"/>
  <c r="E146" i="86" s="1"/>
  <c r="E145" i="86"/>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Q56" i="153"/>
  <c r="S56" i="153" s="1"/>
  <c r="F28" i="149"/>
  <c r="P33" i="143"/>
  <c r="R34" i="129"/>
  <c r="G79" i="86"/>
  <c r="H37" i="89"/>
  <c r="G78" i="86"/>
  <c r="L54" i="86"/>
  <c r="G63" i="86"/>
  <c r="G34" i="147" l="1"/>
  <c r="B36" i="147"/>
  <c r="B38" i="147" s="1"/>
  <c r="H28" i="149"/>
  <c r="H30" i="149" s="1"/>
  <c r="J26" i="149"/>
  <c r="J28" i="149" s="1"/>
  <c r="J32" i="149" s="1"/>
  <c r="I36" i="147"/>
  <c r="K36" i="147" s="1"/>
  <c r="L32" i="149"/>
  <c r="L29" i="149"/>
  <c r="L31" i="149"/>
  <c r="L30" i="149"/>
  <c r="A41" i="153"/>
  <c r="A42" i="153" s="1"/>
  <c r="A43" i="153" s="1"/>
  <c r="A44" i="153" s="1"/>
  <c r="A45" i="153" s="1"/>
  <c r="A46" i="153" s="1"/>
  <c r="A48" i="153" s="1"/>
  <c r="I138" i="215"/>
  <c r="D22" i="225"/>
  <c r="P21" i="225"/>
  <c r="F22" i="225"/>
  <c r="J22" i="225" s="1"/>
  <c r="N22" i="225" s="1"/>
  <c r="P22" i="196"/>
  <c r="F23" i="196"/>
  <c r="J23" i="196" s="1"/>
  <c r="N23" i="196" s="1"/>
  <c r="H26" i="196" s="1"/>
  <c r="D23" i="196"/>
  <c r="G179" i="86"/>
  <c r="G180" i="86"/>
  <c r="L180" i="86"/>
  <c r="B139" i="215"/>
  <c r="F139" i="215"/>
  <c r="C29" i="145"/>
  <c r="H29" i="145" s="1"/>
  <c r="I105" i="143"/>
  <c r="I19" i="145"/>
  <c r="I60" i="145"/>
  <c r="F49" i="89" s="1"/>
  <c r="F50" i="89" s="1"/>
  <c r="F52" i="89" s="1"/>
  <c r="A38" i="145"/>
  <c r="A39" i="145" s="1"/>
  <c r="G109" i="86"/>
  <c r="C22" i="145"/>
  <c r="H22" i="145" s="1"/>
  <c r="C26" i="145"/>
  <c r="H26" i="145" s="1"/>
  <c r="C27" i="145"/>
  <c r="H27" i="145" s="1"/>
  <c r="C28" i="145"/>
  <c r="H28" i="145" s="1"/>
  <c r="C20" i="145"/>
  <c r="H20" i="145" s="1"/>
  <c r="C24" i="145"/>
  <c r="H24" i="145" s="1"/>
  <c r="C23" i="145"/>
  <c r="H23" i="145" s="1"/>
  <c r="C30" i="145"/>
  <c r="H30" i="145" s="1"/>
  <c r="C21" i="145"/>
  <c r="H21" i="145" s="1"/>
  <c r="C25" i="145"/>
  <c r="H25" i="145" s="1"/>
  <c r="D19" i="145"/>
  <c r="G83" i="86"/>
  <c r="B106" i="143"/>
  <c r="E106" i="143"/>
  <c r="F106" i="143" s="1"/>
  <c r="A18" i="74"/>
  <c r="E90" i="86"/>
  <c r="A63" i="89"/>
  <c r="A64" i="89" s="1"/>
  <c r="E91" i="86" s="1"/>
  <c r="B25" i="86"/>
  <c r="B26" i="86" s="1"/>
  <c r="G23" i="147"/>
  <c r="H38" i="89"/>
  <c r="H51" i="89"/>
  <c r="H52" i="89" s="1"/>
  <c r="L78" i="86"/>
  <c r="G111" i="86"/>
  <c r="H31" i="149" l="1"/>
  <c r="H32" i="149"/>
  <c r="H29" i="149"/>
  <c r="E39" i="145"/>
  <c r="G38" i="147"/>
  <c r="J30" i="149"/>
  <c r="J29" i="149"/>
  <c r="J31" i="149"/>
  <c r="P22" i="225"/>
  <c r="A51" i="153"/>
  <c r="A52" i="153" s="1"/>
  <c r="A53" i="153" s="1"/>
  <c r="A54" i="153" s="1"/>
  <c r="A55" i="153" s="1"/>
  <c r="A56" i="153" s="1"/>
  <c r="A57" i="153" s="1"/>
  <c r="G36" i="147"/>
  <c r="D23" i="225"/>
  <c r="F23" i="225"/>
  <c r="J23" i="225" s="1"/>
  <c r="N23" i="225" s="1"/>
  <c r="H25" i="225" s="1"/>
  <c r="H25" i="196"/>
  <c r="H24" i="196"/>
  <c r="D24" i="196"/>
  <c r="F24" i="196"/>
  <c r="P23" i="196"/>
  <c r="F35" i="143"/>
  <c r="P24" i="143" s="1"/>
  <c r="F35" i="129"/>
  <c r="R25" i="129" s="1"/>
  <c r="I20" i="145"/>
  <c r="I21" i="145" s="1"/>
  <c r="I22" i="145" s="1"/>
  <c r="I23" i="145" s="1"/>
  <c r="I24" i="145" s="1"/>
  <c r="I25" i="145" s="1"/>
  <c r="I26" i="145" s="1"/>
  <c r="I27" i="145" s="1"/>
  <c r="I28" i="145" s="1"/>
  <c r="I29" i="145" s="1"/>
  <c r="I30" i="145" s="1"/>
  <c r="I32" i="145" s="1"/>
  <c r="D140" i="215"/>
  <c r="E140" i="215" s="1"/>
  <c r="G139" i="215"/>
  <c r="H139" i="215"/>
  <c r="D20" i="145"/>
  <c r="D21" i="145" s="1"/>
  <c r="D22" i="145" s="1"/>
  <c r="D23" i="145" s="1"/>
  <c r="D24" i="145" s="1"/>
  <c r="D25" i="145" s="1"/>
  <c r="D26" i="145" s="1"/>
  <c r="D27" i="145" s="1"/>
  <c r="D28" i="145" s="1"/>
  <c r="D29" i="145" s="1"/>
  <c r="D30" i="145" s="1"/>
  <c r="D32" i="145" s="1"/>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H106" i="143"/>
  <c r="D107" i="143"/>
  <c r="E107" i="143" s="1"/>
  <c r="G106" i="143"/>
  <c r="N42" i="190"/>
  <c r="N45" i="190" s="1"/>
  <c r="L96" i="86" s="1"/>
  <c r="D29" i="86"/>
  <c r="E27" i="86"/>
  <c r="B27" i="86"/>
  <c r="B29" i="86" s="1"/>
  <c r="L111" i="86"/>
  <c r="I139" i="215" l="1"/>
  <c r="J24" i="196"/>
  <c r="N24" i="196" s="1"/>
  <c r="P24" i="196" s="1"/>
  <c r="D24" i="225"/>
  <c r="F24" i="225"/>
  <c r="P23" i="225"/>
  <c r="H26" i="225"/>
  <c r="H24" i="225"/>
  <c r="D25" i="196"/>
  <c r="F25" i="196"/>
  <c r="J25" i="196" s="1"/>
  <c r="N25" i="196" s="1"/>
  <c r="F140" i="215"/>
  <c r="B140" i="215"/>
  <c r="I34" i="145"/>
  <c r="G24" i="89" s="1"/>
  <c r="G25" i="89" s="1"/>
  <c r="I106" i="143"/>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J24" i="225" l="1"/>
  <c r="N24" i="225" s="1"/>
  <c r="P24" i="225" s="1"/>
  <c r="D25" i="225"/>
  <c r="F25" i="225"/>
  <c r="J25" i="225" s="1"/>
  <c r="N25" i="225" s="1"/>
  <c r="P25" i="196"/>
  <c r="F26" i="196"/>
  <c r="J26" i="196" s="1"/>
  <c r="N26" i="196" s="1"/>
  <c r="D26" i="196"/>
  <c r="D141" i="215"/>
  <c r="E141" i="215" s="1"/>
  <c r="H140" i="215"/>
  <c r="G140" i="215"/>
  <c r="E107" i="86"/>
  <c r="E106" i="86"/>
  <c r="E105" i="86"/>
  <c r="E108" i="86"/>
  <c r="G107" i="143"/>
  <c r="H107" i="143"/>
  <c r="D108" i="143"/>
  <c r="B108" i="143" s="1"/>
  <c r="B32" i="86"/>
  <c r="B33" i="86" s="1"/>
  <c r="C77" i="143"/>
  <c r="Q32" i="143" s="1"/>
  <c r="C77" i="129"/>
  <c r="S33" i="129" s="1"/>
  <c r="P26" i="196" l="1"/>
  <c r="D26" i="225"/>
  <c r="F26" i="225"/>
  <c r="J26" i="225" s="1"/>
  <c r="N26" i="225" s="1"/>
  <c r="H29" i="225" s="1"/>
  <c r="P25" i="225"/>
  <c r="F27" i="196"/>
  <c r="D27" i="196"/>
  <c r="H27" i="196"/>
  <c r="H29" i="196"/>
  <c r="H28" i="196"/>
  <c r="I140" i="215"/>
  <c r="F141" i="215"/>
  <c r="B141" i="215"/>
  <c r="E108" i="143"/>
  <c r="F108" i="143" s="1"/>
  <c r="G108" i="143" s="1"/>
  <c r="I107" i="143"/>
  <c r="B35" i="86"/>
  <c r="B20" i="86"/>
  <c r="D109" i="143" l="1"/>
  <c r="B109" i="143" s="1"/>
  <c r="H108" i="143"/>
  <c r="D27" i="225"/>
  <c r="F27" i="225"/>
  <c r="P26" i="225"/>
  <c r="H28" i="225"/>
  <c r="H27" i="225"/>
  <c r="F28" i="196"/>
  <c r="J28" i="196" s="1"/>
  <c r="N28" i="196" s="1"/>
  <c r="D28" i="196"/>
  <c r="J27" i="196"/>
  <c r="N27" i="196" s="1"/>
  <c r="P27" i="196" s="1"/>
  <c r="G141" i="215"/>
  <c r="D142" i="215"/>
  <c r="E142" i="215" s="1"/>
  <c r="H141" i="215"/>
  <c r="I108" i="143"/>
  <c r="B54" i="86"/>
  <c r="G32" i="147"/>
  <c r="D276" i="86"/>
  <c r="E109" i="143" l="1"/>
  <c r="F109" i="143" s="1"/>
  <c r="D110" i="143" s="1"/>
  <c r="B110" i="143" s="1"/>
  <c r="I141" i="215"/>
  <c r="J27" i="225"/>
  <c r="N27" i="225" s="1"/>
  <c r="P27" i="225" s="1"/>
  <c r="D28" i="225"/>
  <c r="F28" i="225"/>
  <c r="J28" i="225" s="1"/>
  <c r="N28" i="225" s="1"/>
  <c r="F29" i="196"/>
  <c r="J29" i="196" s="1"/>
  <c r="N29" i="196" s="1"/>
  <c r="H32" i="196" s="1"/>
  <c r="D29" i="196"/>
  <c r="P28" i="196"/>
  <c r="F142" i="215"/>
  <c r="B142" i="215"/>
  <c r="B55" i="86"/>
  <c r="B56" i="86" s="1"/>
  <c r="H109" i="143" l="1"/>
  <c r="E110" i="143"/>
  <c r="F110" i="143" s="1"/>
  <c r="D111" i="143" s="1"/>
  <c r="E111" i="143" s="1"/>
  <c r="G109" i="143"/>
  <c r="H30" i="196"/>
  <c r="H31" i="196"/>
  <c r="D29" i="225"/>
  <c r="F29" i="225"/>
  <c r="J29" i="225" s="1"/>
  <c r="N29" i="225" s="1"/>
  <c r="H31" i="225" s="1"/>
  <c r="P28" i="225"/>
  <c r="D30" i="196"/>
  <c r="F30" i="196"/>
  <c r="P29" i="196"/>
  <c r="D143" i="215"/>
  <c r="E143" i="215" s="1"/>
  <c r="H142" i="215"/>
  <c r="G142" i="215"/>
  <c r="E206" i="86"/>
  <c r="B57" i="86"/>
  <c r="B58" i="86" s="1"/>
  <c r="I109" i="143" l="1"/>
  <c r="G110" i="143"/>
  <c r="H110" i="143"/>
  <c r="J30" i="196"/>
  <c r="N30" i="196" s="1"/>
  <c r="P30" i="196" s="1"/>
  <c r="P29" i="225"/>
  <c r="H32" i="225"/>
  <c r="H30" i="225"/>
  <c r="D30" i="225"/>
  <c r="F30" i="225"/>
  <c r="D31" i="196"/>
  <c r="F31" i="196"/>
  <c r="J31" i="196" s="1"/>
  <c r="N31" i="196" s="1"/>
  <c r="I142" i="215"/>
  <c r="B143" i="215"/>
  <c r="F143" i="215"/>
  <c r="B59" i="86"/>
  <c r="B60" i="86" s="1"/>
  <c r="I110" i="143"/>
  <c r="B111" i="143"/>
  <c r="F111" i="143"/>
  <c r="D31" i="225" l="1"/>
  <c r="F31" i="225"/>
  <c r="J31" i="225" s="1"/>
  <c r="N31" i="225" s="1"/>
  <c r="J30" i="225"/>
  <c r="N30" i="225" s="1"/>
  <c r="D32" i="196"/>
  <c r="F32" i="196"/>
  <c r="J32" i="196" s="1"/>
  <c r="N32" i="196" s="1"/>
  <c r="H37" i="196" s="1"/>
  <c r="P31" i="196"/>
  <c r="H143" i="215"/>
  <c r="D144" i="215"/>
  <c r="G143" i="215"/>
  <c r="G111" i="143"/>
  <c r="D112" i="143"/>
  <c r="E112" i="143" s="1"/>
  <c r="H111" i="143"/>
  <c r="B61" i="86"/>
  <c r="B62" i="86" s="1"/>
  <c r="P30" i="225" l="1"/>
  <c r="D32" i="225"/>
  <c r="F32" i="225"/>
  <c r="J32" i="225" s="1"/>
  <c r="N32" i="225" s="1"/>
  <c r="H36" i="225" s="1"/>
  <c r="P31" i="225"/>
  <c r="F35" i="196"/>
  <c r="P32" i="196"/>
  <c r="H36" i="196"/>
  <c r="H35" i="196"/>
  <c r="B144" i="215"/>
  <c r="E144" i="215"/>
  <c r="F144" i="215" s="1"/>
  <c r="I143" i="215"/>
  <c r="I111" i="143"/>
  <c r="B63" i="86"/>
  <c r="B65" i="86" s="1"/>
  <c r="B66" i="86" s="1"/>
  <c r="E63" i="86"/>
  <c r="B112" i="143"/>
  <c r="F112" i="143"/>
  <c r="H37" i="225" l="1"/>
  <c r="F35" i="225"/>
  <c r="P32" i="225"/>
  <c r="H35" i="225"/>
  <c r="F36" i="196"/>
  <c r="J35" i="196"/>
  <c r="N35" i="196" s="1"/>
  <c r="D145" i="215"/>
  <c r="E145" i="215" s="1"/>
  <c r="G144" i="215"/>
  <c r="H144" i="215"/>
  <c r="H112" i="143"/>
  <c r="D113" i="143"/>
  <c r="E113" i="143" s="1"/>
  <c r="G112" i="143"/>
  <c r="B67" i="86"/>
  <c r="B68" i="86" s="1"/>
  <c r="I144" i="215" l="1"/>
  <c r="F36" i="225"/>
  <c r="J35" i="225"/>
  <c r="N35" i="225" s="1"/>
  <c r="P35" i="196"/>
  <c r="J36" i="196"/>
  <c r="N36" i="196" s="1"/>
  <c r="P36" i="196" s="1"/>
  <c r="F37" i="196"/>
  <c r="F145" i="215"/>
  <c r="B145" i="215"/>
  <c r="E78" i="86"/>
  <c r="I112" i="143"/>
  <c r="B69" i="86"/>
  <c r="B70" i="86" s="1"/>
  <c r="B113" i="143"/>
  <c r="F113" i="143"/>
  <c r="P35" i="225" l="1"/>
  <c r="J36" i="225"/>
  <c r="N36" i="225" s="1"/>
  <c r="P36" i="225" s="1"/>
  <c r="F37" i="225"/>
  <c r="F38" i="196"/>
  <c r="F39" i="196" s="1"/>
  <c r="J37" i="196"/>
  <c r="N37" i="196" s="1"/>
  <c r="P37" i="196" s="1"/>
  <c r="H145" i="215"/>
  <c r="G145" i="215"/>
  <c r="D146" i="215"/>
  <c r="E146" i="215" s="1"/>
  <c r="D114" i="143"/>
  <c r="E114" i="143" s="1"/>
  <c r="H113" i="143"/>
  <c r="G113" i="143"/>
  <c r="B71" i="86"/>
  <c r="B72" i="86" s="1"/>
  <c r="E79" i="86"/>
  <c r="F38" i="225" l="1"/>
  <c r="F39" i="225" s="1"/>
  <c r="J37" i="225"/>
  <c r="N37" i="225" s="1"/>
  <c r="H38" i="225" s="1"/>
  <c r="H38" i="196"/>
  <c r="J38" i="196" s="1"/>
  <c r="N38" i="196" s="1"/>
  <c r="P38" i="196" s="1"/>
  <c r="H39" i="196"/>
  <c r="J39" i="196" s="1"/>
  <c r="N39" i="196" s="1"/>
  <c r="F40" i="196"/>
  <c r="H40" i="196"/>
  <c r="F146" i="215"/>
  <c r="B146" i="215"/>
  <c r="I145" i="215"/>
  <c r="E80" i="86"/>
  <c r="I113" i="143"/>
  <c r="B73" i="86"/>
  <c r="B74" i="86" s="1"/>
  <c r="B114" i="143"/>
  <c r="F114" i="143"/>
  <c r="J38" i="225" l="1"/>
  <c r="N38" i="225" s="1"/>
  <c r="P38" i="225" s="1"/>
  <c r="P39" i="196"/>
  <c r="H39" i="225"/>
  <c r="J39" i="225" s="1"/>
  <c r="N39" i="225" s="1"/>
  <c r="P37" i="225"/>
  <c r="H40" i="225"/>
  <c r="F40" i="225"/>
  <c r="J40" i="196"/>
  <c r="N40" i="196" s="1"/>
  <c r="P40" i="196" s="1"/>
  <c r="P43" i="196" s="1"/>
  <c r="P45" i="196" s="1"/>
  <c r="D147" i="215"/>
  <c r="E147" i="215" s="1"/>
  <c r="G146" i="215"/>
  <c r="H146" i="215"/>
  <c r="E81" i="86"/>
  <c r="D115" i="143"/>
  <c r="E115" i="143" s="1"/>
  <c r="H114" i="143"/>
  <c r="G114" i="143"/>
  <c r="B75" i="86"/>
  <c r="B77" i="86" s="1"/>
  <c r="B78" i="86" s="1"/>
  <c r="E82" i="86"/>
  <c r="E75" i="86"/>
  <c r="I146" i="215" l="1"/>
  <c r="J40" i="225"/>
  <c r="N40" i="225" s="1"/>
  <c r="P40" i="225" s="1"/>
  <c r="P43" i="225" s="1"/>
  <c r="P45" i="225" s="1"/>
  <c r="P39" i="225"/>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C23" i="129" l="1"/>
  <c r="S21" i="129" s="1"/>
  <c r="I150" i="215"/>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15" i="149" l="1"/>
  <c r="D295" i="86"/>
  <c r="F152" i="215"/>
  <c r="B152" i="215"/>
  <c r="I151" i="215"/>
  <c r="E134" i="86"/>
  <c r="B120" i="143"/>
  <c r="F120" i="143"/>
  <c r="I119" i="143"/>
  <c r="D153" i="215" l="1"/>
  <c r="E153" i="215" s="1"/>
  <c r="G152" i="215"/>
  <c r="H152" i="215"/>
  <c r="D289"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315"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93"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31" i="86" s="1"/>
  <c r="D229" i="86" l="1"/>
  <c r="B237" i="86"/>
  <c r="I135" i="143"/>
  <c r="B136" i="143"/>
  <c r="E136" i="143"/>
  <c r="F136" i="143" s="1"/>
  <c r="H136" i="143" l="1"/>
  <c r="G136" i="143"/>
  <c r="D137" i="143"/>
  <c r="E137" i="143" s="1"/>
  <c r="B238" i="86"/>
  <c r="B241" i="86" s="1"/>
  <c r="B242" i="86" s="1"/>
  <c r="B243" i="86" s="1"/>
  <c r="B244" i="86" s="1"/>
  <c r="B245" i="86" s="1"/>
  <c r="C11" i="143"/>
  <c r="Q13" i="143" s="1"/>
  <c r="C11" i="129"/>
  <c r="S14" i="129" s="1"/>
  <c r="C14" i="129"/>
  <c r="D238" i="86"/>
  <c r="C14" i="143"/>
  <c r="B246" i="86" l="1"/>
  <c r="B247" i="86" s="1"/>
  <c r="B248" i="86" s="1"/>
  <c r="B249" i="86" s="1"/>
  <c r="B79" i="203"/>
  <c r="F137" i="143"/>
  <c r="B137" i="143"/>
  <c r="E184" i="86"/>
  <c r="D170" i="86"/>
  <c r="I136" i="143"/>
  <c r="E249" i="86" l="1"/>
  <c r="B251" i="86"/>
  <c r="B252" i="86" s="1"/>
  <c r="D254" i="86"/>
  <c r="G137" i="143"/>
  <c r="H137" i="143"/>
  <c r="D138" i="143"/>
  <c r="E138" i="143" s="1"/>
  <c r="I137" i="143" l="1"/>
  <c r="B253" i="86"/>
  <c r="F138" i="143"/>
  <c r="B138" i="143"/>
  <c r="B254" i="86" l="1"/>
  <c r="D246" i="86"/>
  <c r="H138" i="143"/>
  <c r="G138" i="143"/>
  <c r="D139" i="143"/>
  <c r="E139" i="143" s="1"/>
  <c r="B255" i="86" l="1"/>
  <c r="D255" i="86"/>
  <c r="F139" i="143"/>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V40" i="232"/>
  <c r="T40" i="232" l="1"/>
  <c r="R40" i="232"/>
  <c r="H44" i="139" l="1"/>
  <c r="G25" i="193"/>
  <c r="D32" i="89" l="1"/>
  <c r="D35" i="89" s="1"/>
  <c r="D36" i="89" s="1"/>
  <c r="G89" i="86" s="1"/>
  <c r="G92" i="86" s="1"/>
  <c r="G113" i="86" s="1"/>
  <c r="D25" i="193"/>
  <c r="G26" i="193"/>
  <c r="D18" i="193"/>
  <c r="C39" i="236"/>
  <c r="H39" i="236" s="1"/>
  <c r="G22" i="193" l="1"/>
  <c r="G29" i="193" s="1"/>
  <c r="D20" i="193"/>
  <c r="D51" i="193" s="1"/>
  <c r="D26" i="193"/>
  <c r="G30" i="193" l="1"/>
  <c r="J37" i="90" s="1"/>
  <c r="K37" i="90"/>
  <c r="D22" i="193"/>
  <c r="K44" i="90"/>
  <c r="K37" i="139" l="1"/>
  <c r="K44" i="139" s="1"/>
  <c r="F32" i="89" s="1"/>
  <c r="F33" i="89"/>
  <c r="D29" i="193"/>
  <c r="D28" i="193"/>
  <c r="J44" i="90" l="1"/>
  <c r="F35" i="89"/>
  <c r="F36" i="89" s="1"/>
  <c r="F38" i="89" s="1"/>
  <c r="D30" i="193"/>
  <c r="J37" i="139"/>
  <c r="E33" i="89" l="1"/>
  <c r="P44" i="90"/>
  <c r="J44" i="139"/>
  <c r="G44" i="186"/>
  <c r="L207" i="86" s="1"/>
  <c r="E32" i="89" l="1"/>
  <c r="E35" i="89" s="1"/>
  <c r="E36" i="89" s="1"/>
  <c r="E38" i="89" s="1"/>
  <c r="P44" i="139"/>
  <c r="Q44" i="139" s="1"/>
  <c r="L209" i="86"/>
  <c r="L211" i="86" l="1"/>
  <c r="J57" i="86" s="1"/>
  <c r="L57" i="86" s="1"/>
  <c r="L56" i="86"/>
  <c r="J102" i="86" l="1"/>
  <c r="L102" i="86" s="1"/>
  <c r="J134" i="86"/>
  <c r="L134" i="86" s="1"/>
  <c r="L101" i="86" s="1"/>
  <c r="J144" i="86"/>
  <c r="L144" i="86" s="1"/>
  <c r="J153" i="86"/>
  <c r="L153" i="86" s="1"/>
  <c r="F55" i="143" s="1"/>
  <c r="P29" i="143" s="1"/>
  <c r="J215" i="86"/>
  <c r="L215" i="86" s="1"/>
  <c r="L219" i="86" s="1"/>
  <c r="L221" i="86" s="1"/>
  <c r="J105" i="86" s="1"/>
  <c r="L105" i="86" s="1"/>
  <c r="J142" i="86" l="1"/>
  <c r="L142" i="86" s="1"/>
  <c r="I26" i="89"/>
  <c r="I27" i="89" s="1"/>
  <c r="J155" i="86"/>
  <c r="L155" i="86" s="1"/>
  <c r="J98" i="86"/>
  <c r="L98" i="86" s="1"/>
  <c r="J73" i="86"/>
  <c r="L73" i="86" s="1"/>
  <c r="F55" i="129"/>
  <c r="R30" i="129" s="1"/>
  <c r="J154" i="86"/>
  <c r="L154" i="86" s="1"/>
  <c r="J74" i="86"/>
  <c r="L74" i="86" s="1"/>
  <c r="J160" i="86"/>
  <c r="L160" i="86" s="1"/>
  <c r="J61" i="86"/>
  <c r="L61" i="86" s="1"/>
  <c r="J62" i="86"/>
  <c r="L62" i="86" s="1"/>
  <c r="J103" i="86"/>
  <c r="L103" i="86" s="1"/>
  <c r="J147" i="86"/>
  <c r="L147" i="86" s="1"/>
  <c r="J72" i="86"/>
  <c r="L72" i="86" s="1"/>
  <c r="J60" i="86"/>
  <c r="L60" i="86" s="1"/>
  <c r="I37" i="89" l="1"/>
  <c r="I51" i="89" s="1"/>
  <c r="I52" i="89" s="1"/>
  <c r="L156" i="86"/>
  <c r="L81" i="86"/>
  <c r="L82" i="86"/>
  <c r="L63" i="86"/>
  <c r="J63" i="86" s="1"/>
  <c r="J145" i="86" s="1"/>
  <c r="L145" i="86" s="1"/>
  <c r="I38" i="89" l="1"/>
  <c r="G26" i="89"/>
  <c r="G37" i="89" s="1"/>
  <c r="G38" i="89" s="1"/>
  <c r="J162" i="86"/>
  <c r="L162" i="86" s="1"/>
  <c r="J104" i="86"/>
  <c r="L104" i="86" s="1"/>
  <c r="J106" i="86"/>
  <c r="L106" i="86" s="1"/>
  <c r="J164" i="86"/>
  <c r="L164" i="86" s="1"/>
  <c r="J143" i="86"/>
  <c r="L143" i="86" s="1"/>
  <c r="L148" i="86" s="1"/>
  <c r="L150" i="86" s="1"/>
  <c r="J178" i="86"/>
  <c r="L178" i="86" s="1"/>
  <c r="F33" i="129" s="1"/>
  <c r="R23" i="129" s="1"/>
  <c r="J38" i="89" l="1"/>
  <c r="L89" i="86" s="1"/>
  <c r="L109" i="86"/>
  <c r="G27" i="89"/>
  <c r="L165" i="86"/>
  <c r="G51" i="89"/>
  <c r="G52" i="89" s="1"/>
  <c r="J52" i="89" s="1"/>
  <c r="L90" i="86" s="1"/>
  <c r="F33" i="143"/>
  <c r="P22" i="143" s="1"/>
  <c r="G63" i="89" l="1"/>
  <c r="G64" i="89" s="1"/>
  <c r="J64" i="89" s="1"/>
  <c r="L91" i="86" s="1"/>
  <c r="K40" i="232" l="1"/>
  <c r="L249" i="86" l="1"/>
  <c r="E254" i="86" s="1"/>
  <c r="E255" i="86" l="1"/>
  <c r="G254" i="86" l="1"/>
  <c r="L254" i="86" s="1"/>
  <c r="G252" i="86"/>
  <c r="G253" i="86"/>
  <c r="L253" i="86" s="1"/>
  <c r="L252" i="86" l="1"/>
  <c r="L255" i="86" s="1"/>
  <c r="G44" i="188" l="1"/>
  <c r="G46" i="188" s="1"/>
  <c r="L68" i="86" s="1"/>
  <c r="J68" i="86" s="1"/>
  <c r="J69" i="86" s="1"/>
  <c r="L69" i="86" s="1"/>
  <c r="L79" i="86" s="1"/>
  <c r="L75" i="86" l="1"/>
  <c r="F71" i="129"/>
  <c r="R32" i="129" s="1"/>
  <c r="F71" i="143"/>
  <c r="P31" i="143" s="1"/>
  <c r="L83" i="86"/>
  <c r="J83" i="86" l="1"/>
  <c r="I30" i="147" l="1"/>
  <c r="G23" i="203" l="1"/>
  <c r="G22" i="203"/>
  <c r="G20" i="203"/>
  <c r="G19" i="203"/>
  <c r="G16" i="203"/>
  <c r="G14" i="203"/>
  <c r="G21" i="222"/>
  <c r="G19" i="222"/>
  <c r="G17" i="222"/>
  <c r="G16" i="222"/>
  <c r="G14" i="222"/>
  <c r="G15" i="203" l="1"/>
  <c r="G21" i="203"/>
  <c r="G12" i="203"/>
  <c r="G17" i="203"/>
  <c r="G13" i="203"/>
  <c r="G18" i="203"/>
  <c r="G11" i="203"/>
  <c r="G12" i="222"/>
  <c r="G23" i="222"/>
  <c r="G13" i="222"/>
  <c r="G18" i="222"/>
  <c r="G15" i="222"/>
  <c r="G20" i="222"/>
  <c r="G22" i="222"/>
  <c r="G24" i="203" l="1"/>
  <c r="C24" i="203"/>
  <c r="L228" i="86" s="1"/>
  <c r="L232" i="86" s="1"/>
  <c r="E237" i="86" s="1"/>
  <c r="E238" i="86" s="1"/>
  <c r="C24" i="222"/>
  <c r="L228" i="204" s="1"/>
  <c r="L232" i="204" s="1"/>
  <c r="E237" i="204" s="1"/>
  <c r="E238" i="204" s="1"/>
  <c r="G11" i="222"/>
  <c r="G24" i="222" s="1"/>
  <c r="G236" i="86" l="1"/>
  <c r="G235" i="86"/>
  <c r="G237" i="86"/>
  <c r="E79" i="203"/>
  <c r="E81" i="203" s="1"/>
  <c r="E82" i="203" s="1"/>
  <c r="E53" i="203" s="1"/>
  <c r="E58" i="203" s="1"/>
  <c r="E79" i="222"/>
  <c r="E81" i="222" s="1"/>
  <c r="E82" i="222" s="1"/>
  <c r="E53" i="222" s="1"/>
  <c r="E58" i="222" s="1"/>
  <c r="G235" i="204"/>
  <c r="G237" i="204"/>
  <c r="G236" i="204"/>
  <c r="L225" i="86" l="1"/>
  <c r="E60" i="203"/>
  <c r="J235" i="86" s="1"/>
  <c r="D16" i="129"/>
  <c r="R16" i="129" s="1"/>
  <c r="D16" i="143"/>
  <c r="P15" i="143" s="1"/>
  <c r="D18" i="129"/>
  <c r="D18" i="143"/>
  <c r="L237" i="86"/>
  <c r="D17" i="129"/>
  <c r="D17" i="143"/>
  <c r="L236" i="86"/>
  <c r="D17" i="216"/>
  <c r="L236" i="204"/>
  <c r="D17" i="215"/>
  <c r="L237" i="204"/>
  <c r="D18" i="216"/>
  <c r="D18" i="215"/>
  <c r="D16" i="216"/>
  <c r="R16" i="216" s="1"/>
  <c r="D16" i="215"/>
  <c r="P15" i="215" s="1"/>
  <c r="E60" i="222"/>
  <c r="J235" i="204" s="1"/>
  <c r="L225" i="204"/>
  <c r="F17" i="129" l="1"/>
  <c r="R18" i="129"/>
  <c r="E16" i="143"/>
  <c r="E16" i="129"/>
  <c r="L235" i="86"/>
  <c r="F18" i="143"/>
  <c r="P19" i="143"/>
  <c r="R20" i="129"/>
  <c r="F18" i="129"/>
  <c r="P17" i="143"/>
  <c r="F17" i="143"/>
  <c r="P19" i="215"/>
  <c r="F18" i="215"/>
  <c r="P17" i="215"/>
  <c r="F17" i="215"/>
  <c r="R20" i="216"/>
  <c r="F18" i="216"/>
  <c r="E16" i="216"/>
  <c r="L235" i="204"/>
  <c r="E16" i="215"/>
  <c r="R18" i="216"/>
  <c r="F17" i="216"/>
  <c r="F16" i="129" l="1"/>
  <c r="R17" i="129"/>
  <c r="L238" i="86"/>
  <c r="G169" i="86" s="1"/>
  <c r="F16" i="143"/>
  <c r="P16" i="143"/>
  <c r="R17" i="216"/>
  <c r="F16" i="216"/>
  <c r="L238" i="204"/>
  <c r="G184" i="204" s="1"/>
  <c r="P16" i="215"/>
  <c r="F16" i="215"/>
  <c r="F19" i="143" l="1"/>
  <c r="E24" i="143" s="1"/>
  <c r="G184" i="86"/>
  <c r="G177" i="86" s="1"/>
  <c r="G182" i="86" s="1"/>
  <c r="G188" i="86" s="1"/>
  <c r="I38" i="94" s="1"/>
  <c r="I41" i="94" s="1"/>
  <c r="I43" i="94" s="1"/>
  <c r="I45" i="94" s="1"/>
  <c r="I46" i="94" s="1"/>
  <c r="I48" i="94" s="1"/>
  <c r="G191" i="86" s="1"/>
  <c r="G193" i="86" s="1"/>
  <c r="F19" i="129"/>
  <c r="E24" i="129" s="1"/>
  <c r="F19" i="215"/>
  <c r="E24" i="215" s="1"/>
  <c r="E25" i="215" s="1"/>
  <c r="F31" i="215"/>
  <c r="F19" i="216"/>
  <c r="E24" i="216" s="1"/>
  <c r="E25" i="216" s="1"/>
  <c r="F31" i="216"/>
  <c r="F31" i="129" l="1"/>
  <c r="F31" i="143"/>
  <c r="F29" i="216"/>
  <c r="F32" i="216" s="1"/>
  <c r="F36" i="216" s="1"/>
  <c r="F51" i="216" s="1"/>
  <c r="F50" i="216"/>
  <c r="F50" i="215"/>
  <c r="F29" i="215"/>
  <c r="F32" i="215" s="1"/>
  <c r="F36" i="215" s="1"/>
  <c r="F51" i="215" s="1"/>
  <c r="D37" i="193" l="1"/>
  <c r="D52" i="193" s="1"/>
  <c r="D53" i="193" s="1"/>
  <c r="E39" i="193"/>
  <c r="D39" i="193" s="1"/>
  <c r="E46" i="193" l="1"/>
  <c r="L174" i="86"/>
  <c r="C44" i="236"/>
  <c r="D46" i="193" l="1"/>
  <c r="K24" i="90"/>
  <c r="K29" i="90" s="1"/>
  <c r="F20" i="89" s="1"/>
  <c r="K24" i="139"/>
  <c r="K29" i="139" s="1"/>
  <c r="F19" i="89" s="1"/>
  <c r="E47" i="193"/>
  <c r="H44" i="236"/>
  <c r="L179" i="86"/>
  <c r="F22" i="89" l="1"/>
  <c r="F23" i="89" s="1"/>
  <c r="F25" i="89" s="1"/>
  <c r="F27" i="89" s="1"/>
  <c r="J27" i="89" s="1"/>
  <c r="L88" i="86" s="1"/>
  <c r="L92" i="86" s="1"/>
  <c r="L113" i="86" s="1"/>
  <c r="E23" i="143" s="1"/>
  <c r="E25" i="143" s="1"/>
  <c r="D47" i="193"/>
  <c r="J24" i="90"/>
  <c r="J29" i="90" s="1"/>
  <c r="J24" i="139"/>
  <c r="J29" i="139" s="1"/>
  <c r="P29" i="139" s="1"/>
  <c r="Q29" i="139" s="1"/>
  <c r="F34" i="143"/>
  <c r="P23" i="143" s="1"/>
  <c r="F34" i="129"/>
  <c r="R24" i="129" s="1"/>
  <c r="P20" i="143" l="1"/>
  <c r="E23" i="129"/>
  <c r="R21" i="129" s="1"/>
  <c r="L184" i="86"/>
  <c r="L177" i="86" s="1"/>
  <c r="L182" i="86" s="1"/>
  <c r="F44" i="129" s="1"/>
  <c r="R28" i="129" s="1"/>
  <c r="P29" i="90"/>
  <c r="E20" i="89"/>
  <c r="E19" i="89"/>
  <c r="F29" i="143"/>
  <c r="F32" i="143" s="1"/>
  <c r="F36" i="143" s="1"/>
  <c r="F51" i="143" s="1"/>
  <c r="F50" i="143"/>
  <c r="F43" i="143" l="1"/>
  <c r="P26" i="143" s="1"/>
  <c r="E25" i="129"/>
  <c r="F29" i="129" s="1"/>
  <c r="F32" i="129" s="1"/>
  <c r="F36" i="129" s="1"/>
  <c r="F51" i="129" s="1"/>
  <c r="F43" i="129"/>
  <c r="R27" i="129" s="1"/>
  <c r="F44" i="143"/>
  <c r="P27" i="143" s="1"/>
  <c r="L188" i="86"/>
  <c r="K38" i="94" s="1"/>
  <c r="K41" i="94" s="1"/>
  <c r="K43" i="94" s="1"/>
  <c r="K45" i="94" s="1"/>
  <c r="E22" i="89"/>
  <c r="E23" i="89" s="1"/>
  <c r="E25" i="89" s="1"/>
  <c r="E27" i="89" s="1"/>
  <c r="F50" i="129" l="1"/>
  <c r="K46" i="94"/>
  <c r="K48" i="94" s="1"/>
  <c r="L191" i="86" s="1"/>
  <c r="F45" i="143" l="1"/>
  <c r="P28" i="143" s="1"/>
  <c r="F45" i="129"/>
  <c r="R29" i="129" s="1"/>
  <c r="L193" i="86"/>
  <c r="L12" i="86" l="1"/>
  <c r="F42" i="143"/>
  <c r="F42" i="129"/>
  <c r="F46" i="129" l="1"/>
  <c r="F49" i="129" s="1"/>
  <c r="F52" i="129" s="1"/>
  <c r="R26" i="129"/>
  <c r="P25" i="143"/>
  <c r="F46" i="143"/>
  <c r="F49" i="143" s="1"/>
  <c r="F52" i="143" s="1"/>
  <c r="L30" i="86"/>
  <c r="L26" i="86"/>
  <c r="L27" i="86" s="1"/>
  <c r="K14" i="147"/>
  <c r="L33" i="86"/>
  <c r="L18" i="86"/>
  <c r="F77" i="143" l="1"/>
  <c r="F77" i="129"/>
  <c r="K20" i="147"/>
  <c r="F59" i="143"/>
  <c r="F62" i="143" s="1"/>
  <c r="F64" i="143" s="1"/>
  <c r="F66" i="143" s="1"/>
  <c r="F59" i="129"/>
  <c r="F62" i="129" s="1"/>
  <c r="F64" i="129" s="1"/>
  <c r="F66" i="129" s="1"/>
  <c r="F67" i="129" l="1"/>
  <c r="F68" i="129" s="1"/>
  <c r="F53" i="129" s="1"/>
  <c r="F54" i="129" s="1"/>
  <c r="F67" i="143"/>
  <c r="F68" i="143" s="1"/>
  <c r="F53" i="143" s="1"/>
  <c r="F54" i="143" s="1"/>
  <c r="K28" i="147"/>
  <c r="R33" i="129"/>
  <c r="J100" i="129"/>
  <c r="J101" i="129" s="1"/>
  <c r="P32" i="143"/>
  <c r="I99" i="143"/>
  <c r="F56" i="143" l="1"/>
  <c r="F75" i="143" s="1"/>
  <c r="F76" i="143" s="1"/>
  <c r="F78" i="143" s="1"/>
  <c r="F72" i="143"/>
  <c r="F73" i="143" s="1"/>
  <c r="F56" i="129"/>
  <c r="F75" i="129" s="1"/>
  <c r="F76" i="129" s="1"/>
  <c r="F78" i="129" s="1"/>
  <c r="F72" i="129"/>
  <c r="F73" i="129" s="1"/>
  <c r="K34" i="147"/>
  <c r="I100" i="143"/>
  <c r="H104" i="143" s="1"/>
  <c r="G104" i="143"/>
  <c r="G160" i="143" s="1"/>
  <c r="I104" i="143" l="1"/>
  <c r="I160" i="143" s="1"/>
  <c r="H160" i="143"/>
  <c r="K38" i="147"/>
  <c r="B13" i="179"/>
  <c r="F13" i="179" s="1"/>
  <c r="D21" i="179" l="1"/>
  <c r="P44" i="179"/>
  <c r="P21" i="179" l="1"/>
  <c r="F22" i="179"/>
  <c r="J22" i="179" s="1"/>
  <c r="N22" i="179" s="1"/>
  <c r="D22" i="179"/>
  <c r="D23" i="179" l="1"/>
  <c r="F23" i="179"/>
  <c r="J23" i="179" s="1"/>
  <c r="N23" i="179" s="1"/>
  <c r="H25" i="179" s="1"/>
  <c r="P22" i="179"/>
  <c r="P23" i="179" l="1"/>
  <c r="H26" i="179"/>
  <c r="H24" i="179"/>
  <c r="D24" i="179"/>
  <c r="F24" i="179"/>
  <c r="J24" i="179" l="1"/>
  <c r="N24" i="179" s="1"/>
  <c r="P24" i="179" s="1"/>
  <c r="F25" i="179"/>
  <c r="J25" i="179" s="1"/>
  <c r="N25" i="179" s="1"/>
  <c r="D25" i="179"/>
  <c r="P25" i="179" l="1"/>
  <c r="F26" i="179"/>
  <c r="J26" i="179" s="1"/>
  <c r="N26" i="179" s="1"/>
  <c r="H28" i="179" s="1"/>
  <c r="D26" i="179"/>
  <c r="F27" i="179" l="1"/>
  <c r="D27" i="179"/>
  <c r="P26" i="179"/>
  <c r="H27" i="179"/>
  <c r="H29" i="179"/>
  <c r="F28" i="179" l="1"/>
  <c r="J28" i="179" s="1"/>
  <c r="N28" i="179" s="1"/>
  <c r="D28" i="179"/>
  <c r="J27" i="179"/>
  <c r="N27" i="179" s="1"/>
  <c r="P27" i="179" s="1"/>
  <c r="D29" i="179" l="1"/>
  <c r="F29" i="179"/>
  <c r="J29" i="179" s="1"/>
  <c r="N29" i="179" s="1"/>
  <c r="H31" i="179" s="1"/>
  <c r="P28" i="179"/>
  <c r="H32" i="179" l="1"/>
  <c r="H30" i="179"/>
  <c r="D30" i="179"/>
  <c r="F30" i="179"/>
  <c r="P29" i="179"/>
  <c r="J30" i="179" l="1"/>
  <c r="N30" i="179" s="1"/>
  <c r="P30" i="179" s="1"/>
  <c r="D31" i="179"/>
  <c r="F31" i="179"/>
  <c r="J31" i="179" s="1"/>
  <c r="N31" i="179" s="1"/>
  <c r="F32" i="179" l="1"/>
  <c r="J32" i="179" s="1"/>
  <c r="N32" i="179" s="1"/>
  <c r="D32" i="179"/>
  <c r="P31" i="179"/>
  <c r="F35" i="179" l="1"/>
  <c r="P32" i="179"/>
  <c r="H36" i="179"/>
  <c r="H37" i="179"/>
  <c r="H35" i="179"/>
  <c r="J35" i="179" l="1"/>
  <c r="N35" i="179" s="1"/>
  <c r="F36" i="179"/>
  <c r="J36" i="179" l="1"/>
  <c r="N36" i="179" s="1"/>
  <c r="P36" i="179" s="1"/>
  <c r="F37" i="179"/>
  <c r="P35" i="179"/>
  <c r="F38" i="179" l="1"/>
  <c r="J37" i="179"/>
  <c r="N37" i="179" s="1"/>
  <c r="H39" i="179" l="1"/>
  <c r="H40" i="179"/>
  <c r="H38" i="179"/>
  <c r="J38" i="179" s="1"/>
  <c r="N38" i="179" s="1"/>
  <c r="P37" i="179"/>
  <c r="F39" i="179"/>
  <c r="P38" i="179" l="1"/>
  <c r="F40" i="179"/>
  <c r="J40" i="179" s="1"/>
  <c r="N40" i="179" s="1"/>
  <c r="J39" i="179"/>
  <c r="N39" i="179" s="1"/>
  <c r="P39" i="179" s="1"/>
  <c r="P40" i="179" l="1"/>
  <c r="P43" i="179" s="1"/>
  <c r="P45" i="179" s="1"/>
  <c r="F11" i="178" l="1"/>
  <c r="P63" i="178" l="1"/>
  <c r="D19" i="178"/>
  <c r="R19" i="178" l="1"/>
  <c r="D20" i="178"/>
  <c r="F20" i="178"/>
  <c r="J20" i="178" s="1"/>
  <c r="N20" i="178" s="1"/>
  <c r="R20" i="178" l="1"/>
  <c r="D21" i="178"/>
  <c r="F21" i="178"/>
  <c r="J21" i="178" s="1"/>
  <c r="N21" i="178" s="1"/>
  <c r="H24" i="178" s="1"/>
  <c r="R21" i="178" l="1"/>
  <c r="D22" i="178"/>
  <c r="F22" i="178"/>
  <c r="H22" i="178"/>
  <c r="H23" i="178"/>
  <c r="J22" i="178" l="1"/>
  <c r="N22" i="178" s="1"/>
  <c r="R22" i="178" s="1"/>
  <c r="D23" i="178"/>
  <c r="F23" i="178"/>
  <c r="J23" i="178" s="1"/>
  <c r="N23" i="178" s="1"/>
  <c r="D24" i="178" l="1"/>
  <c r="F24" i="178"/>
  <c r="J24" i="178" s="1"/>
  <c r="N24" i="178" s="1"/>
  <c r="R23" i="178"/>
  <c r="H25" i="178" l="1"/>
  <c r="H27" i="178"/>
  <c r="H26" i="178"/>
  <c r="D25" i="178"/>
  <c r="F25" i="178"/>
  <c r="R24" i="178"/>
  <c r="J25" i="178" l="1"/>
  <c r="N25" i="178" s="1"/>
  <c r="R25" i="178" s="1"/>
  <c r="F26" i="178"/>
  <c r="J26" i="178" s="1"/>
  <c r="N26" i="178" s="1"/>
  <c r="D26" i="178"/>
  <c r="R26" i="178" l="1"/>
  <c r="D27" i="178"/>
  <c r="F27" i="178"/>
  <c r="J27" i="178" s="1"/>
  <c r="N27" i="178" s="1"/>
  <c r="H29" i="178" l="1"/>
  <c r="H30" i="178"/>
  <c r="H28" i="178"/>
  <c r="D28" i="178"/>
  <c r="F28" i="178"/>
  <c r="R27" i="178"/>
  <c r="D29" i="178" l="1"/>
  <c r="F29" i="178"/>
  <c r="J29" i="178" s="1"/>
  <c r="N29" i="178" s="1"/>
  <c r="J28" i="178"/>
  <c r="N28" i="178" s="1"/>
  <c r="R28" i="178" s="1"/>
  <c r="D30" i="178" l="1"/>
  <c r="F30" i="178"/>
  <c r="J30" i="178" s="1"/>
  <c r="N30" i="178" s="1"/>
  <c r="H35" i="178" s="1"/>
  <c r="R29" i="178"/>
  <c r="F33" i="178" l="1"/>
  <c r="R30" i="178"/>
  <c r="H34" i="178"/>
  <c r="H33" i="178"/>
  <c r="F34" i="178" l="1"/>
  <c r="J33" i="178"/>
  <c r="N33" i="178" s="1"/>
  <c r="R33" i="178" l="1"/>
  <c r="F35" i="178"/>
  <c r="J34" i="178"/>
  <c r="N34" i="178" s="1"/>
  <c r="R34" i="178" s="1"/>
  <c r="J35" i="178" l="1"/>
  <c r="N35" i="178" s="1"/>
  <c r="H38" i="178" s="1"/>
  <c r="F36" i="178"/>
  <c r="F37" i="178" s="1"/>
  <c r="F38" i="178" s="1"/>
  <c r="H37" i="178" l="1"/>
  <c r="H36" i="178"/>
  <c r="J36" i="178" s="1"/>
  <c r="N36" i="178" s="1"/>
  <c r="J37" i="178"/>
  <c r="N37" i="178" s="1"/>
  <c r="F39" i="178"/>
  <c r="F40" i="178" s="1"/>
  <c r="F41" i="178" s="1"/>
  <c r="J38" i="178"/>
  <c r="N38" i="178" s="1"/>
  <c r="R35" i="178"/>
  <c r="H40" i="178" l="1"/>
  <c r="J40" i="178" s="1"/>
  <c r="N40" i="178" s="1"/>
  <c r="R36" i="178"/>
  <c r="R37" i="178"/>
  <c r="R38" i="178"/>
  <c r="H41" i="178"/>
  <c r="J41" i="178" s="1"/>
  <c r="N41" i="178" s="1"/>
  <c r="H39" i="178"/>
  <c r="J39" i="178" s="1"/>
  <c r="N39" i="178" s="1"/>
  <c r="F42" i="178"/>
  <c r="F43" i="178" s="1"/>
  <c r="F44" i="178" s="1"/>
  <c r="R41" i="178" l="1"/>
  <c r="R40" i="178"/>
  <c r="H42" i="178"/>
  <c r="J42" i="178" s="1"/>
  <c r="N42" i="178" s="1"/>
  <c r="R42" i="178" s="1"/>
  <c r="H43" i="178"/>
  <c r="J43" i="178" s="1"/>
  <c r="N43" i="178" s="1"/>
  <c r="H44" i="178"/>
  <c r="J44" i="178" s="1"/>
  <c r="N44" i="178" s="1"/>
  <c r="R39" i="178"/>
  <c r="F48" i="178"/>
  <c r="F49" i="178" s="1"/>
  <c r="F50" i="178" s="1"/>
  <c r="F51" i="178" s="1"/>
  <c r="F52" i="178" s="1"/>
  <c r="F53" i="178" s="1"/>
  <c r="F54" i="178" s="1"/>
  <c r="F55" i="178" s="1"/>
  <c r="F56" i="178" s="1"/>
  <c r="F57" i="178" s="1"/>
  <c r="F58" i="178" s="1"/>
  <c r="F59" i="178" s="1"/>
  <c r="R43" i="178" l="1"/>
  <c r="R44" i="178"/>
  <c r="P54" i="178" s="1"/>
  <c r="H49" i="178"/>
  <c r="H48" i="178"/>
  <c r="J48" i="178" s="1"/>
  <c r="N48" i="178" s="1"/>
  <c r="H50" i="178"/>
  <c r="P53" i="178" l="1"/>
  <c r="P52" i="178"/>
  <c r="P56" i="178"/>
  <c r="P48" i="178"/>
  <c r="R48" i="178" s="1"/>
  <c r="J49" i="178" s="1"/>
  <c r="N49" i="178" s="1"/>
  <c r="P59" i="178"/>
  <c r="P57" i="178"/>
  <c r="P55" i="178"/>
  <c r="P50" i="178"/>
  <c r="P51" i="178"/>
  <c r="P58" i="178"/>
  <c r="P49" i="178"/>
  <c r="P62" i="178" l="1"/>
  <c r="P64" i="178" s="1"/>
  <c r="R49" i="178"/>
  <c r="J50" i="178" s="1"/>
  <c r="N50" i="178" s="1"/>
  <c r="H51" i="178" s="1"/>
  <c r="Q40" i="232" l="1"/>
  <c r="R50" i="178"/>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178"/>
  <c r="H52" i="178"/>
  <c r="H56" i="178" l="1"/>
  <c r="H58" i="178" s="1"/>
  <c r="H54" i="178"/>
  <c r="H55" i="178"/>
  <c r="H57" i="178" l="1"/>
  <c r="H59" i="178"/>
  <c r="L249" i="204" l="1"/>
  <c r="E254" i="204" s="1"/>
  <c r="E255" i="204" s="1"/>
  <c r="G254" i="204" l="1"/>
  <c r="L254" i="204" s="1"/>
  <c r="G253" i="204"/>
  <c r="L253" i="204" s="1"/>
  <c r="G252" i="204"/>
  <c r="L252" i="204" l="1"/>
  <c r="L255" i="204" l="1"/>
  <c r="L184" i="204" s="1"/>
  <c r="G169" i="204" l="1"/>
  <c r="G177" i="204" s="1"/>
  <c r="G182" i="204" s="1"/>
  <c r="G188" i="204" s="1"/>
  <c r="I38" i="220" s="1"/>
  <c r="I41" i="220" s="1"/>
  <c r="I43" i="220" s="1"/>
  <c r="I45" i="220" s="1"/>
  <c r="I46" i="220" s="1"/>
  <c r="I48" i="220" s="1"/>
  <c r="G191" i="204" s="1"/>
  <c r="G193" i="204" s="1"/>
  <c r="F43" i="216"/>
  <c r="R27" i="216" s="1"/>
  <c r="F43" i="215"/>
  <c r="P26" i="215" s="1"/>
  <c r="L177" i="204" l="1"/>
  <c r="L182" i="204" s="1"/>
  <c r="F44" i="216" s="1"/>
  <c r="R28" i="216" s="1"/>
  <c r="L188" i="204" l="1"/>
  <c r="K38" i="220" s="1"/>
  <c r="K41" i="220" s="1"/>
  <c r="K43" i="220" s="1"/>
  <c r="K45" i="220" s="1"/>
  <c r="K46" i="220" s="1"/>
  <c r="K48" i="220" s="1"/>
  <c r="L191" i="204" s="1"/>
  <c r="F45" i="216" s="1"/>
  <c r="R29" i="216" s="1"/>
  <c r="F44" i="215"/>
  <c r="P27" i="215" s="1"/>
  <c r="F45" i="215" l="1"/>
  <c r="P28" i="215" s="1"/>
  <c r="L193" i="204"/>
  <c r="F42" i="216" s="1"/>
  <c r="L12" i="204" l="1"/>
  <c r="F42" i="215"/>
  <c r="F46" i="215" s="1"/>
  <c r="F49" i="215" s="1"/>
  <c r="F52" i="215" s="1"/>
  <c r="F59" i="215" s="1"/>
  <c r="F62" i="215" s="1"/>
  <c r="F64" i="215" s="1"/>
  <c r="F66" i="215" s="1"/>
  <c r="F67" i="215" s="1"/>
  <c r="F68" i="215" s="1"/>
  <c r="F53" i="215" s="1"/>
  <c r="F54" i="215" s="1"/>
  <c r="F46" i="216"/>
  <c r="F49" i="216" s="1"/>
  <c r="F52" i="216" s="1"/>
  <c r="F59" i="216" s="1"/>
  <c r="F62" i="216" s="1"/>
  <c r="F64" i="216" s="1"/>
  <c r="F66" i="216" s="1"/>
  <c r="F67" i="216" s="1"/>
  <c r="F68" i="216" s="1"/>
  <c r="F53" i="216" s="1"/>
  <c r="F54" i="216" s="1"/>
  <c r="R26" i="216"/>
  <c r="L33" i="204"/>
  <c r="M14" i="147"/>
  <c r="L26" i="204"/>
  <c r="L27" i="204" s="1"/>
  <c r="L18" i="204"/>
  <c r="L30" i="204"/>
  <c r="P25" i="215" l="1"/>
  <c r="F77" i="216"/>
  <c r="F77" i="215"/>
  <c r="F72" i="216"/>
  <c r="F73" i="216" s="1"/>
  <c r="F56" i="216"/>
  <c r="F75" i="216" s="1"/>
  <c r="F76" i="216" s="1"/>
  <c r="M20" i="147"/>
  <c r="I14" i="147"/>
  <c r="F72" i="215"/>
  <c r="F73" i="215" s="1"/>
  <c r="F56" i="215"/>
  <c r="F75" i="215" s="1"/>
  <c r="F76" i="215" s="1"/>
  <c r="F78" i="215" l="1"/>
  <c r="F78" i="216"/>
  <c r="M28" i="147"/>
  <c r="I20" i="147"/>
  <c r="K21" i="147" s="1"/>
  <c r="M21" i="147" s="1"/>
  <c r="I99" i="215"/>
  <c r="P32" i="215"/>
  <c r="R33" i="216"/>
  <c r="J100" i="216"/>
  <c r="J101" i="216" s="1"/>
  <c r="G104" i="215" l="1"/>
  <c r="G160" i="215" s="1"/>
  <c r="I100" i="215"/>
  <c r="H104" i="215" s="1"/>
  <c r="M34" i="147"/>
  <c r="I28" i="147"/>
  <c r="I34" i="147" s="1"/>
  <c r="I38" i="147" s="1"/>
  <c r="M38" i="147" l="1"/>
  <c r="B13" i="224"/>
  <c r="F13" i="224" s="1"/>
  <c r="H160" i="215"/>
  <c r="I104" i="215"/>
  <c r="I160" i="215" s="1"/>
  <c r="P44" i="224" l="1"/>
  <c r="D21" i="224"/>
  <c r="F22" i="224" l="1"/>
  <c r="J22" i="224" s="1"/>
  <c r="N22" i="224" s="1"/>
  <c r="P21" i="224"/>
  <c r="D22" i="224"/>
  <c r="P22" i="224" l="1"/>
  <c r="D23" i="224"/>
  <c r="F23" i="224"/>
  <c r="J23" i="224" s="1"/>
  <c r="N23" i="224" s="1"/>
  <c r="H25" i="224" s="1"/>
  <c r="P23" i="224" l="1"/>
  <c r="H26" i="224"/>
  <c r="H24" i="224"/>
  <c r="D24" i="224"/>
  <c r="F24" i="224"/>
  <c r="J24" i="224" l="1"/>
  <c r="N24" i="224" s="1"/>
  <c r="P24" i="224" s="1"/>
  <c r="D25" i="224"/>
  <c r="F25" i="224"/>
  <c r="J25" i="224" s="1"/>
  <c r="N25" i="224" s="1"/>
  <c r="P25" i="224" l="1"/>
  <c r="F26" i="224"/>
  <c r="J26" i="224" s="1"/>
  <c r="N26" i="224" s="1"/>
  <c r="D26" i="224"/>
  <c r="P26" i="224" l="1"/>
  <c r="F27" i="224"/>
  <c r="D27" i="224"/>
  <c r="H27" i="224"/>
  <c r="H29" i="224"/>
  <c r="H28" i="224"/>
  <c r="F28" i="224" l="1"/>
  <c r="J28" i="224" s="1"/>
  <c r="N28" i="224" s="1"/>
  <c r="D28" i="224"/>
  <c r="J27" i="224"/>
  <c r="N27" i="224" s="1"/>
  <c r="P27" i="224" s="1"/>
  <c r="P28" i="224" l="1"/>
  <c r="D29" i="224"/>
  <c r="F29" i="224"/>
  <c r="J29" i="224" s="1"/>
  <c r="N29" i="224" s="1"/>
  <c r="H31" i="224" s="1"/>
  <c r="H32" i="224" l="1"/>
  <c r="H30" i="224"/>
  <c r="D30" i="224"/>
  <c r="F30" i="224"/>
  <c r="P29" i="224"/>
  <c r="J30" i="224" l="1"/>
  <c r="N30" i="224" s="1"/>
  <c r="P30" i="224" s="1"/>
  <c r="F31" i="224"/>
  <c r="J31" i="224" s="1"/>
  <c r="N31" i="224" s="1"/>
  <c r="D31" i="224"/>
  <c r="F32" i="224" l="1"/>
  <c r="J32" i="224" s="1"/>
  <c r="N32" i="224" s="1"/>
  <c r="H36" i="224" s="1"/>
  <c r="D32" i="224"/>
  <c r="P31" i="224"/>
  <c r="F35" i="224" l="1"/>
  <c r="P32" i="224"/>
  <c r="H37" i="224"/>
  <c r="H35" i="224"/>
  <c r="F36" i="224" l="1"/>
  <c r="J35" i="224"/>
  <c r="N35" i="224" s="1"/>
  <c r="P35" i="224" l="1"/>
  <c r="J36" i="224"/>
  <c r="N36" i="224" s="1"/>
  <c r="P36" i="224" s="1"/>
  <c r="F37" i="224"/>
  <c r="F38" i="224" l="1"/>
  <c r="F39" i="224" s="1"/>
  <c r="J37" i="224"/>
  <c r="N37" i="224" s="1"/>
  <c r="H39" i="224" s="1"/>
  <c r="P37" i="224" l="1"/>
  <c r="H40" i="224"/>
  <c r="H38" i="224"/>
  <c r="J38" i="224" s="1"/>
  <c r="N38" i="224" s="1"/>
  <c r="P38" i="224" s="1"/>
  <c r="F40" i="224"/>
  <c r="J39" i="224"/>
  <c r="N39" i="224" s="1"/>
  <c r="P39" i="224" l="1"/>
  <c r="J40" i="224"/>
  <c r="N40" i="224" s="1"/>
  <c r="P40" i="224" s="1"/>
  <c r="P43" i="224" s="1"/>
  <c r="P45" i="2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0"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Q40"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36"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projecting estimated rates.
</t>
        </r>
      </text>
    </comment>
    <comment ref="H12" authorId="0" shapeId="0" xr:uid="{00000000-0006-0000-0C00-000002000000}">
      <text>
        <r>
          <rPr>
            <b/>
            <sz val="9"/>
            <color indexed="81"/>
            <rFont val="Tahoma"/>
            <family val="2"/>
          </rPr>
          <t>Author:</t>
        </r>
        <r>
          <rPr>
            <sz val="9"/>
            <color indexed="81"/>
            <rFont val="Tahoma"/>
            <family val="2"/>
          </rPr>
          <t xml:space="preserve">
Remove *0 when projecting estimated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32" authorId="0" shapeId="0" xr:uid="{00000000-0006-0000-1500-000001000000}">
      <text>
        <r>
          <rPr>
            <b/>
            <sz val="9"/>
            <color indexed="81"/>
            <rFont val="Tahoma"/>
            <family val="2"/>
          </rPr>
          <t>Author:</t>
        </r>
        <r>
          <rPr>
            <sz val="9"/>
            <color indexed="81"/>
            <rFont val="Tahoma"/>
            <family val="2"/>
          </rPr>
          <t xml:space="preserve">
Adjustments made by Accounting to the FF1 for reserves sent to Account 449 for the radial asset issue.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4" authorId="0" shapeId="0" xr:uid="{00000000-0006-0000-1700-000001000000}">
      <text>
        <r>
          <rPr>
            <b/>
            <sz val="8"/>
            <color indexed="81"/>
            <rFont val="Tahoma"/>
            <family val="2"/>
          </rPr>
          <t>Author:</t>
        </r>
        <r>
          <rPr>
            <sz val="8"/>
            <color indexed="81"/>
            <rFont val="Tahoma"/>
            <family val="2"/>
          </rPr>
          <t xml:space="preserve">
FF1 pg 323
</t>
        </r>
      </text>
    </comment>
    <comment ref="B44" authorId="0" shapeId="0" xr:uid="{00000000-0006-0000-1700-000002000000}">
      <text>
        <r>
          <rPr>
            <b/>
            <sz val="8"/>
            <color indexed="81"/>
            <rFont val="Tahoma"/>
            <family val="2"/>
          </rPr>
          <t>Author:</t>
        </r>
        <r>
          <rPr>
            <sz val="8"/>
            <color indexed="81"/>
            <rFont val="Tahoma"/>
            <family val="2"/>
          </rPr>
          <t xml:space="preserve">
FF1, pg. 335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900-000001000000}">
      <text>
        <r>
          <rPr>
            <b/>
            <sz val="9"/>
            <color indexed="81"/>
            <rFont val="Tahoma"/>
            <family val="2"/>
          </rPr>
          <t>Author:</t>
        </r>
        <r>
          <rPr>
            <sz val="9"/>
            <color indexed="81"/>
            <rFont val="Tahoma"/>
            <family val="2"/>
          </rPr>
          <t xml:space="preserve">
Remove *0 when projecting estimated rates.</t>
        </r>
      </text>
    </comment>
    <comment ref="H12" authorId="0" shapeId="0" xr:uid="{00000000-0006-0000-2900-000002000000}">
      <text>
        <r>
          <rPr>
            <b/>
            <sz val="9"/>
            <color indexed="81"/>
            <rFont val="Tahoma"/>
            <family val="2"/>
          </rPr>
          <t>Author:</t>
        </r>
        <r>
          <rPr>
            <sz val="9"/>
            <color indexed="81"/>
            <rFont val="Tahoma"/>
            <family val="2"/>
          </rPr>
          <t xml:space="preserve">
Remove *0 when projecting estimated rates.</t>
        </r>
      </text>
    </comment>
  </commentList>
</comments>
</file>

<file path=xl/sharedStrings.xml><?xml version="1.0" encoding="utf-8"?>
<sst xmlns="http://schemas.openxmlformats.org/spreadsheetml/2006/main" count="4564" uniqueCount="1363">
  <si>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</si>
  <si>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</si>
  <si>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</si>
  <si>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</si>
  <si>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</si>
  <si>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</si>
  <si>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</si>
  <si>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</si>
  <si>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</si>
  <si>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</si>
  <si>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</si>
  <si>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</si>
  <si>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</si>
  <si>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</si>
  <si>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</si>
  <si>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</si>
  <si>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</si>
  <si>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</si>
  <si>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</si>
  <si>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</si>
  <si>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</si>
  <si>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</si>
  <si>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</si>
  <si>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</si>
  <si>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</si>
  <si>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</si>
  <si>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</si>
  <si>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</si>
  <si>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</si>
  <si>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</si>
  <si>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</si>
  <si>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</si>
  <si>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</si>
  <si>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</si>
  <si>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</si>
  <si>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</si>
  <si>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</si>
  <si>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</si>
  <si>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</si>
  <si>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</si>
  <si>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</si>
  <si>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</si>
  <si>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</si>
  <si>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</si>
  <si>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</si>
  <si>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</si>
  <si>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</si>
  <si>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</si>
  <si>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</si>
  <si>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</si>
  <si>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</si>
  <si>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</si>
  <si>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</si>
  <si>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</si>
  <si>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</si>
  <si>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</si>
  <si>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</si>
  <si>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</si>
  <si>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</si>
  <si>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</si>
  <si>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</si>
  <si>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</si>
  <si>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</si>
  <si>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</si>
  <si>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</si>
  <si>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</si>
  <si>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</si>
  <si>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</si>
  <si>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</si>
  <si>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</si>
  <si>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</si>
  <si>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</si>
  <si>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</si>
  <si>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</si>
  <si>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</si>
  <si>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</si>
  <si>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</si>
  <si>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</si>
  <si>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</si>
  <si>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</si>
  <si>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</si>
  <si>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</si>
  <si>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</si>
  <si>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</si>
  <si>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</si>
  <si>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</si>
  <si>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</si>
  <si>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</si>
  <si>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</si>
  <si>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</si>
  <si>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</si>
  <si>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</si>
  <si>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</si>
  <si>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</si>
  <si>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</si>
  <si>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</si>
  <si>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</si>
  <si>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</si>
  <si>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</si>
  <si>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</si>
  <si>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</si>
  <si>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</si>
  <si>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</si>
  <si>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</si>
  <si>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</si>
  <si>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</si>
  <si>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</si>
  <si>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</si>
  <si>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</si>
  <si>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</si>
  <si>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</si>
  <si>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</si>
  <si>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</si>
  <si>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</si>
  <si>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</si>
  <si>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</si>
  <si>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</si>
  <si>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</si>
  <si>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</si>
  <si>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</si>
  <si>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</si>
  <si>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</si>
  <si>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</si>
  <si>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</si>
  <si>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</si>
  <si>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</si>
  <si>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</si>
  <si>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</si>
  <si>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</si>
  <si>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</si>
  <si>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</si>
  <si>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</si>
  <si>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</si>
  <si>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</si>
  <si>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</si>
  <si>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</si>
  <si>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</si>
  <si>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</si>
  <si>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</si>
  <si>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</si>
  <si>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</si>
  <si>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</si>
  <si>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</si>
  <si>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</si>
  <si>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</si>
  <si>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</si>
  <si>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</si>
  <si>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</si>
  <si>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</si>
  <si>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</si>
  <si>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</si>
  <si>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</si>
  <si>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</si>
  <si>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</si>
  <si>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</si>
  <si>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</si>
  <si>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</si>
  <si>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</si>
  <si>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</si>
  <si>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</si>
  <si>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</si>
  <si>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</si>
  <si>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</si>
  <si>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</si>
  <si>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</si>
  <si>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</si>
  <si>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</si>
  <si>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</si>
  <si>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</si>
  <si>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</si>
  <si>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</si>
  <si>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</si>
  <si>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</si>
  <si>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</si>
  <si>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</si>
  <si>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</si>
  <si>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</si>
  <si>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</si>
  <si>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</si>
  <si>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</si>
  <si>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</si>
  <si>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</si>
  <si>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</si>
  <si>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</si>
  <si>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</si>
  <si>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</si>
  <si>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</si>
  <si>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</si>
  <si>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</si>
  <si>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</si>
  <si>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</si>
  <si>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</si>
  <si>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</si>
  <si>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</si>
  <si>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</si>
  <si>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</si>
  <si>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</si>
  <si>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</si>
  <si>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</si>
  <si>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</si>
  <si>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</si>
  <si>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</si>
  <si>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</si>
  <si>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</si>
  <si>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</si>
  <si>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</si>
  <si>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</si>
  <si>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</si>
  <si>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</si>
  <si>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</si>
  <si>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</si>
  <si>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</si>
  <si>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</si>
  <si>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</si>
  <si>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</si>
  <si>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</si>
  <si>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</si>
  <si>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</si>
  <si>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</si>
  <si>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</si>
  <si>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</si>
  <si>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</si>
  <si>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</si>
  <si>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</si>
  <si>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</si>
  <si>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</si>
  <si>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</si>
  <si>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</si>
  <si>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</si>
  <si>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</si>
  <si>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</si>
  <si>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</si>
  <si>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</si>
  <si>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</si>
  <si>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</si>
  <si>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</si>
  <si>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</si>
  <si>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</si>
  <si>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</si>
  <si>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</si>
  <si>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</si>
  <si>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</si>
  <si>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</si>
  <si>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</si>
  <si>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</si>
  <si>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</si>
  <si>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</si>
  <si>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</si>
  <si>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</si>
  <si>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</si>
  <si>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</si>
  <si>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</si>
  <si>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</si>
  <si>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</si>
  <si>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</si>
  <si>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</si>
  <si>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</si>
  <si>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</si>
  <si>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</si>
  <si>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</si>
  <si>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</si>
  <si>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</si>
  <si>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</si>
  <si>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</si>
  <si>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</si>
  <si>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</si>
  <si>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</si>
  <si>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</si>
  <si>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</si>
  <si>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</si>
  <si>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</si>
  <si>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</si>
  <si>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</si>
  <si>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</si>
  <si>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</si>
  <si>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</si>
  <si>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</si>
  <si>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</si>
  <si>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</si>
  <si>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</si>
  <si>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</si>
  <si>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</si>
  <si>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</si>
  <si>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</si>
  <si>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</si>
  <si>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</si>
  <si>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</si>
  <si>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</si>
  <si>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</si>
  <si>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</si>
  <si>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</si>
  <si>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</si>
  <si>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</si>
  <si>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</si>
  <si>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</si>
  <si>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</si>
  <si>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</si>
  <si>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</si>
  <si>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</si>
  <si>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</si>
  <si>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</si>
  <si>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</si>
  <si>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</si>
  <si>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</si>
  <si>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</si>
  <si>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</si>
  <si>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</si>
  <si>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</si>
  <si>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</si>
  <si>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</si>
  <si>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</si>
  <si>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</si>
  <si>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</si>
  <si>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</si>
  <si>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</si>
  <si>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</si>
  <si>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</si>
  <si>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</si>
  <si>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</si>
  <si>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</si>
  <si>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</si>
  <si>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</si>
  <si>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</si>
  <si>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</si>
  <si>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</si>
  <si>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</si>
  <si>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</si>
  <si>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</si>
  <si>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</si>
  <si>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</si>
  <si>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</si>
  <si>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</si>
  <si>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</si>
  <si>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</si>
  <si>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</si>
  <si>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</si>
  <si>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</si>
  <si>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</si>
  <si>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</si>
  <si>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</si>
  <si>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</si>
  <si>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</si>
  <si>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</si>
  <si>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</si>
  <si>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</si>
  <si>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</si>
  <si>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</si>
  <si>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</si>
  <si>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</si>
  <si>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</si>
  <si>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</si>
  <si>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</si>
  <si>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</si>
  <si>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</si>
  <si>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</si>
  <si>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</si>
  <si>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</si>
  <si>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</si>
  <si>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</si>
  <si>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</si>
  <si>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</si>
  <si>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</si>
  <si>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</si>
  <si>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</si>
  <si>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</si>
  <si>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</si>
  <si>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</si>
  <si>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</si>
  <si>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</si>
  <si>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</si>
  <si>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</si>
  <si>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</si>
  <si>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</si>
  <si>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</si>
  <si>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</si>
  <si>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</si>
  <si>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</si>
  <si>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</si>
  <si>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</si>
  <si>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</si>
  <si>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</si>
  <si>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</si>
  <si>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</si>
  <si>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</si>
  <si>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</si>
  <si>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</si>
  <si>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</si>
  <si>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</si>
  <si>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</si>
  <si>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</si>
  <si>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</si>
  <si>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</si>
  <si>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</si>
  <si>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</si>
  <si>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</si>
  <si>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</si>
  <si>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</si>
  <si>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</si>
  <si>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</si>
  <si>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</si>
  <si>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</si>
  <si>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</si>
  <si>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</si>
  <si>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</si>
  <si>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</si>
  <si>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</si>
  <si>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</si>
  <si>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</si>
  <si>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</si>
  <si>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</si>
  <si>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</si>
  <si>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</si>
  <si>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</si>
  <si>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</si>
  <si>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</si>
  <si>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</si>
  <si>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</si>
  <si>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</si>
  <si>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</si>
  <si>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</si>
  <si>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</si>
  <si>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</si>
  <si>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</si>
  <si>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</si>
  <si>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</si>
  <si>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</si>
  <si>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</si>
  <si>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</si>
  <si>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</si>
  <si>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</si>
  <si>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</si>
  <si>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</si>
  <si>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</si>
  <si>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</si>
  <si>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</si>
  <si>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</si>
  <si>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</si>
  <si>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</si>
  <si>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</si>
  <si>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</si>
  <si>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</si>
  <si>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</si>
  <si>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</si>
  <si>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</si>
  <si>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</si>
  <si>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</si>
  <si>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</si>
  <si>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</si>
  <si>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</si>
  <si>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</si>
  <si>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</si>
  <si>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</si>
  <si>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</si>
  <si>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</si>
  <si>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</si>
  <si>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</si>
  <si>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</si>
  <si>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</si>
  <si>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</si>
  <si>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</si>
  <si>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</si>
  <si>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</si>
  <si>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</si>
  <si>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</si>
  <si>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</si>
  <si>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</si>
  <si>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</si>
  <si>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</si>
  <si>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</si>
  <si>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</si>
  <si>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</si>
  <si>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</si>
  <si>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</si>
  <si>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</si>
  <si>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</si>
  <si>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</si>
  <si>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</si>
  <si>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</si>
  <si>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</si>
  <si>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</si>
  <si>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</si>
  <si>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</si>
  <si>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</si>
  <si>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</si>
  <si>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</si>
  <si>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</si>
  <si>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</si>
  <si>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</si>
  <si>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</si>
  <si>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</si>
  <si>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</si>
  <si>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</si>
  <si>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</si>
  <si>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</si>
  <si>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</si>
  <si>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</si>
  <si>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</si>
  <si>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</si>
  <si>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</si>
  <si>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</si>
  <si>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</si>
  <si>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</si>
  <si>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</si>
  <si>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</si>
  <si>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</si>
  <si>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</si>
  <si>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</si>
  <si>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</si>
  <si>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</si>
  <si>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</si>
  <si>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</si>
  <si>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</si>
  <si>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</si>
  <si>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</si>
  <si>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</si>
  <si>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</si>
  <si>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</si>
  <si>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</si>
  <si>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</si>
  <si>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</si>
  <si>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</si>
  <si>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</si>
  <si>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</si>
  <si>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</si>
  <si>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</si>
  <si>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</si>
  <si>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</si>
  <si>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</si>
  <si>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</si>
  <si>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</si>
  <si>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</si>
  <si>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</si>
  <si>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</si>
  <si>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</si>
  <si>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</si>
  <si>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</si>
  <si>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</si>
  <si>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</si>
  <si>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</si>
  <si>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</si>
  <si>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</si>
  <si>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</si>
  <si>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</si>
  <si>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</si>
  <si>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</si>
  <si>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</si>
  <si>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</si>
  <si>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</si>
  <si>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</si>
  <si>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</si>
  <si>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</si>
  <si>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</si>
  <si>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</si>
  <si>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</si>
  <si>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</si>
  <si>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</si>
  <si>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</si>
  <si>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</si>
  <si>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</si>
  <si>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</si>
  <si>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</si>
  <si>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</si>
  <si>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</si>
  <si>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</si>
  <si>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</si>
  <si>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</si>
  <si>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</si>
  <si>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</si>
  <si>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</si>
  <si>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</si>
  <si>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</si>
  <si>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</si>
  <si>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</si>
  <si>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</si>
  <si>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</si>
  <si>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</si>
  <si>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</si>
  <si>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</si>
  <si>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</si>
  <si>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</si>
  <si>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</si>
  <si>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</si>
  <si>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</si>
  <si>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 - EIS</t>
  </si>
  <si>
    <t>2821001</t>
  </si>
  <si>
    <t>2831001</t>
  </si>
  <si>
    <t>1901001</t>
  </si>
  <si>
    <t>Tax Effect of Permanent and Flow Through Differences</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</si>
  <si>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</si>
  <si>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</si>
  <si>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</si>
  <si>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</si>
  <si>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</si>
  <si>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</si>
  <si>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</si>
  <si>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</si>
  <si>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</si>
  <si>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</si>
  <si>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</si>
  <si>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</si>
  <si>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</si>
  <si>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</si>
  <si>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</si>
  <si>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</si>
  <si>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</si>
  <si>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</si>
  <si>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</si>
  <si>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</si>
  <si>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</si>
  <si>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</si>
  <si>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</si>
  <si>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</si>
  <si>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</si>
  <si>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</si>
  <si>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</si>
  <si>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</si>
  <si>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</si>
  <si>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</si>
  <si>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</si>
  <si>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</si>
  <si>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</si>
  <si>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</si>
  <si>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</si>
  <si>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</si>
  <si>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</si>
  <si>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</si>
  <si>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</si>
  <si>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</si>
  <si>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</si>
  <si>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</si>
  <si>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</si>
  <si>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</si>
  <si>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</si>
  <si>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</si>
  <si>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</si>
  <si>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</si>
  <si>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</si>
  <si>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</si>
  <si>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</si>
  <si>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</si>
  <si>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</si>
  <si>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</si>
  <si>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</si>
  <si>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</si>
  <si>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</si>
  <si>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</si>
  <si>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</si>
  <si>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</si>
  <si>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</si>
  <si>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</si>
  <si>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</si>
  <si>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</si>
  <si>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</si>
  <si>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r>
      <t xml:space="preserve">State Income Tax Rate - </t>
    </r>
    <r>
      <rPr>
        <strike/>
        <sz val="12"/>
        <color indexed="10"/>
        <rFont val="Arial"/>
        <family val="2"/>
      </rPr>
      <t/>
    </r>
  </si>
  <si>
    <t xml:space="preserve">State Income Tax Rate - </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</si>
  <si>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</si>
  <si>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</si>
  <si>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</si>
  <si>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</si>
  <si>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</si>
  <si>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</si>
  <si>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</si>
  <si>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</si>
  <si>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</si>
  <si>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</si>
  <si>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</si>
  <si>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</si>
  <si>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</si>
  <si>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</si>
  <si>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</si>
  <si>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</si>
  <si>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</si>
  <si>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</si>
  <si>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</si>
  <si>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</si>
  <si>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</si>
  <si>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</si>
  <si>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</si>
  <si>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</si>
  <si>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</si>
  <si>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</si>
  <si>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</si>
  <si>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</si>
  <si>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</si>
  <si>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</si>
  <si>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</si>
  <si>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</si>
  <si>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</si>
  <si>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</si>
  <si>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</si>
  <si>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</si>
  <si>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</si>
  <si>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</si>
  <si>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</si>
  <si>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</si>
  <si>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</si>
  <si>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</si>
  <si>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</si>
  <si>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</si>
  <si>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</si>
  <si>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</si>
  <si>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</si>
  <si>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</si>
  <si>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</si>
  <si>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</si>
  <si>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</si>
  <si>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</si>
  <si>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</si>
  <si>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</si>
  <si>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</si>
  <si>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</si>
  <si>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</si>
  <si>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</si>
  <si>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</si>
  <si>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</si>
  <si>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</si>
  <si>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</si>
  <si>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</si>
  <si>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</si>
  <si>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</si>
  <si>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</si>
  <si>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</si>
  <si>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</si>
  <si>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</si>
  <si>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</si>
  <si>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</si>
  <si>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</si>
  <si>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</si>
  <si>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</si>
  <si>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</si>
  <si>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</si>
  <si>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</si>
  <si>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</si>
  <si>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</si>
  <si>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</si>
  <si>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</si>
  <si>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</si>
  <si>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</si>
  <si>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</si>
  <si>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</si>
  <si>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</si>
  <si>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</si>
  <si>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</si>
  <si>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</si>
  <si>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</si>
  <si>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</si>
  <si>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</si>
  <si>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</si>
  <si>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</si>
  <si>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</si>
  <si>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</si>
  <si>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</si>
  <si>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</si>
  <si>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</si>
  <si>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</si>
  <si>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</si>
  <si>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</si>
  <si>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</si>
  <si>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</si>
  <si>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</si>
  <si>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</si>
  <si>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</si>
  <si>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</si>
  <si>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</si>
  <si>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</si>
  <si>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</si>
  <si>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</si>
  <si>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</si>
  <si>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</si>
  <si>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</si>
  <si>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</si>
  <si>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</si>
  <si>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</si>
  <si>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</si>
  <si>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</si>
  <si>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</si>
  <si>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</si>
  <si>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</si>
  <si>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</si>
  <si>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</si>
  <si>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</si>
  <si>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</si>
  <si>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</si>
  <si>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</si>
  <si>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</si>
  <si>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</si>
  <si>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</si>
  <si>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</si>
  <si>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</si>
  <si>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</si>
  <si>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</si>
  <si>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</si>
  <si>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</si>
  <si>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</si>
  <si>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</si>
  <si>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</si>
  <si>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</si>
  <si>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</si>
  <si>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</si>
  <si>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</si>
  <si>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</si>
  <si>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</si>
  <si>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</si>
  <si>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</si>
  <si>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</si>
  <si>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</si>
  <si>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</si>
  <si>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</si>
  <si>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</si>
  <si>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</si>
  <si>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</si>
  <si>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</si>
  <si>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</si>
  <si>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C-4</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</si>
  <si>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</si>
  <si>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</si>
  <si>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</si>
  <si>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</si>
  <si>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</si>
  <si>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</si>
  <si>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</si>
  <si>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</si>
  <si>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</si>
  <si>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</si>
  <si>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</si>
  <si>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</si>
  <si>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</si>
  <si>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</si>
  <si>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</si>
  <si>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</si>
  <si>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</si>
  <si>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</si>
  <si>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</si>
  <si>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</si>
  <si>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</si>
  <si>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</si>
  <si>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</si>
  <si>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</si>
  <si>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</si>
  <si>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</si>
  <si>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</si>
  <si>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</si>
  <si>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</si>
  <si>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</si>
  <si>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</si>
  <si>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</si>
  <si>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</si>
  <si>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</si>
  <si>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</si>
  <si>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</si>
  <si>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</si>
  <si>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</si>
  <si>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</si>
  <si>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</si>
  <si>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</si>
  <si>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</si>
  <si>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</si>
  <si>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</si>
  <si>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</si>
  <si>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</si>
  <si>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</si>
  <si>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</si>
  <si>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</si>
  <si>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</si>
  <si>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</si>
  <si>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</si>
  <si>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</si>
  <si>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</si>
  <si>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</si>
  <si>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</si>
  <si>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</si>
  <si>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</si>
  <si>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</si>
  <si>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</si>
  <si>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</si>
  <si>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</si>
  <si>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</si>
  <si>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</si>
  <si>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</si>
  <si>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</si>
  <si>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</si>
  <si>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</si>
  <si>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</si>
  <si>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</si>
  <si>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</si>
  <si>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</si>
  <si>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</si>
  <si>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</si>
  <si>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</si>
  <si>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</si>
  <si>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</si>
  <si>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</si>
  <si>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</si>
  <si>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</si>
  <si>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</si>
  <si>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</si>
  <si>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</si>
  <si>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</si>
  <si>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</si>
  <si>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</si>
  <si>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</si>
  <si>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</si>
  <si>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</si>
  <si>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</si>
  <si>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</si>
  <si>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</si>
  <si>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</si>
  <si>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</si>
  <si>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</si>
  <si>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</si>
  <si>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TRANSMISSION PLANT INCLUDED IN SPP TARIFF (Note W)</t>
  </si>
  <si>
    <t>Schedule 11 Revenue Credits and SPP Billing Adjustments</t>
  </si>
  <si>
    <t>Total True Up net of revenue credits, including interest</t>
  </si>
  <si>
    <t>Cash Revenue Collections for True-up Year, Net of Schedule 11 Revenue Credits</t>
  </si>
  <si>
    <t>Cash Revenue Collections for True-up Year, Net of Schedule 9 Revenue Credits</t>
  </si>
  <si>
    <t>Cash Revenue Collections for True-up Year, Net of Schedule 1 Revenue Credits</t>
  </si>
  <si>
    <t xml:space="preserve">AEP West SPP Member Transmission Companies </t>
  </si>
  <si>
    <t>AEPTCo Annual</t>
  </si>
  <si>
    <t>OKT  Annual</t>
  </si>
  <si>
    <t>SWT  Annual</t>
  </si>
  <si>
    <t>OKT Annual</t>
  </si>
  <si>
    <t>SWT Annual</t>
  </si>
  <si>
    <t>AEP OKLAHOMA TRANSMISSION COMPANY, INC.</t>
  </si>
  <si>
    <t>AEP SOUTHWESTERN TRANSMISSION COMPANY</t>
  </si>
  <si>
    <t>STAND ALONE (Note T)</t>
  </si>
  <si>
    <t>WEIGHTED AVERAGE COST OF CAPITAL (WACC)</t>
  </si>
  <si>
    <t>PUBLIC SERVICE COMPANY OF OKLAHOMA (Note T)</t>
  </si>
  <si>
    <t>(PSO Worksheet M, ln. 14, col. (b))</t>
  </si>
  <si>
    <t>(PSO Worksheet M, ln. 14, col. (c))</t>
  </si>
  <si>
    <t>(PSO Worksheet M, ln. 14, col. (d))</t>
  </si>
  <si>
    <t>(PSO Worksheet M, ln. 14, col. (e))</t>
  </si>
  <si>
    <t>Long Term Interest (PSO Formula Worksheet M, ln. 37, col. (d))</t>
  </si>
  <si>
    <t>Preferred Stock Dividends (PSO Formula Worksheet M, ln. 57, col. (d))</t>
  </si>
  <si>
    <t>SOUTHWESTERN ELECTRIC POWER COMPANY (Note T)</t>
  </si>
  <si>
    <t>(SWEPCO Worksheet M, ln. 14, col. (b))</t>
  </si>
  <si>
    <t>(SWEPCO Worksheet M, ln. 14, col. (c))</t>
  </si>
  <si>
    <t>(SWEPCO Worksheet M, ln. 14, col. (d))</t>
  </si>
  <si>
    <t>(SWEPCO Worksheet M, ln. 14, col. (e))</t>
  </si>
  <si>
    <t>Long Term Interest (SWEPCO Formula Worksheet M, ln. 37, col. (d))</t>
  </si>
  <si>
    <t>Preferred Stock Dividends (SWEPCO Formula Worksheet M, ln. 57, col. (d))</t>
  </si>
  <si>
    <t>OKT Total</t>
  </si>
  <si>
    <t>SWT Total</t>
  </si>
  <si>
    <t xml:space="preserve">Prepaid Insurance </t>
  </si>
  <si>
    <t>1650021</t>
  </si>
  <si>
    <t>1650023</t>
  </si>
  <si>
    <t>Prepaid Lease</t>
  </si>
  <si>
    <t>Avg Long Term Debt (SWEPCO Worksheet M, ln. 28, col. (g))</t>
  </si>
  <si>
    <t>Avg Preferred Stock (SWEPCO Worksheet M, ln. 14, col.(c))</t>
  </si>
  <si>
    <t>AEP Oklahoma Transmission Company uses its own capital structure.</t>
  </si>
  <si>
    <t>Avg Long Term Debt (PSO Worksheet M, ln. 28, col. (g))</t>
  </si>
  <si>
    <t>Avg Preferred Stock (PSO Worksheet M, ln. 14, col.(c))</t>
  </si>
  <si>
    <t>State Income Tax Rate - Arkansas</t>
  </si>
  <si>
    <t>State Income Tax Rate - Louisiana</t>
  </si>
  <si>
    <t>Regulatory Commission Exp</t>
  </si>
  <si>
    <t>Regulatory Commission Exp-Adm</t>
  </si>
  <si>
    <t>Regulatory Commission Exp-Case</t>
  </si>
  <si>
    <t>Reg Com Exp-FERC Trans Cases</t>
  </si>
  <si>
    <t>9280000</t>
  </si>
  <si>
    <t>9280001</t>
  </si>
  <si>
    <t>9280002</t>
  </si>
  <si>
    <t>9280005</t>
  </si>
  <si>
    <t>9301000</t>
  </si>
  <si>
    <t>General Advertising Expenses</t>
  </si>
  <si>
    <t>9302000</t>
  </si>
  <si>
    <t>Misc General Expenses</t>
  </si>
  <si>
    <t>Sales/Use</t>
  </si>
  <si>
    <t>OK Franchise Tax</t>
  </si>
  <si>
    <t>Franchise Tax</t>
  </si>
  <si>
    <t>Misc General Expense</t>
  </si>
  <si>
    <t>OKT.001</t>
  </si>
  <si>
    <t>OKT</t>
  </si>
  <si>
    <t>OKT.002</t>
  </si>
  <si>
    <t>OKT.003</t>
  </si>
  <si>
    <t>OKT.004</t>
  </si>
  <si>
    <t>OKT.005</t>
  </si>
  <si>
    <t>OKT.006</t>
  </si>
  <si>
    <t>OKT.007</t>
  </si>
  <si>
    <t>OKT.008</t>
  </si>
  <si>
    <t>OKT.009</t>
  </si>
  <si>
    <t>OKT.010</t>
  </si>
  <si>
    <t>OKT.011</t>
  </si>
  <si>
    <t>OKT.012</t>
  </si>
  <si>
    <t>OKT.013</t>
  </si>
  <si>
    <t>OKT.014</t>
  </si>
  <si>
    <t>OKT.015</t>
  </si>
  <si>
    <t>OKT.016</t>
  </si>
  <si>
    <t>OKT.017</t>
  </si>
  <si>
    <t>OKT.018</t>
  </si>
  <si>
    <t>Snyder 138 kV Terminal Addition</t>
  </si>
  <si>
    <t>Coffeyville T to Dearing 138 kV Rebuild - 1.1 miles</t>
  </si>
  <si>
    <t>Tulsa Power Station Reactor</t>
  </si>
  <si>
    <t xml:space="preserve">Bartlesville SE to Coffeyville T Rebuild </t>
  </si>
  <si>
    <t>Install 345kV terminal at Valliant***</t>
  </si>
  <si>
    <t xml:space="preserve">Canadian River - McAlester City 138 kV Line Conversion </t>
  </si>
  <si>
    <t xml:space="preserve">Cornville Station Conversion </t>
  </si>
  <si>
    <t>Coweta 69 kV Capacitor</t>
  </si>
  <si>
    <t>Prattville-Bluebell 138 kV</t>
  </si>
  <si>
    <t>Wapanucka Customer Connection</t>
  </si>
  <si>
    <t>Grady Customer Connection</t>
  </si>
  <si>
    <t>Darlington-Red Rock 138 kV line</t>
  </si>
  <si>
    <t>Ellis 138 kV</t>
  </si>
  <si>
    <t>Valliant-NW Texarkana 345 kV</t>
  </si>
  <si>
    <t>Darlington Roman Nose 138 kv</t>
  </si>
  <si>
    <t>Carnegie South-Southwestern 123 kv line rebuild</t>
  </si>
  <si>
    <t>Chisholm - Gracemont 345 kv line and station</t>
  </si>
  <si>
    <t>Duncan-Comanche Tap 69 KV Rebuild</t>
  </si>
  <si>
    <t>OKT.019</t>
  </si>
  <si>
    <t>Fort Towson-Valliant 69 KV Line Rebuild</t>
  </si>
  <si>
    <t>Common Stock cost rate (ROE) = 10.5%, the rate accepted by FERC pursuant to the settlement filed in Docket Nos. EL17-76 and EL18-199.  It includes an additional 50 basis points</t>
  </si>
  <si>
    <t xml:space="preserve"> for remaining a member of the SPP RTO. The capital structure of AEP Southwestern Transmission Co. will be based on the capital structure of SWEPCO until it establishes a stand alone capital structure.</t>
  </si>
  <si>
    <t>13 Month Average balance</t>
  </si>
  <si>
    <t xml:space="preserve">Average of the 13 Monthly Balances </t>
  </si>
  <si>
    <t>Average of the 13 Monthly Balances</t>
  </si>
  <si>
    <t>13 Month Average</t>
  </si>
  <si>
    <t>State Gross Receipts</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</si>
  <si>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</si>
  <si>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</si>
  <si>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</si>
  <si>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</si>
  <si>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</si>
  <si>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</si>
  <si>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10A</t>
  </si>
  <si>
    <t>ADJUSTMENTS DISCOVERED DURING PRIOR ANNUAL UPDATE</t>
  </si>
  <si>
    <t>(F)+(G)+(H)+(I)</t>
  </si>
  <si>
    <t xml:space="preserve">Actual / Projected 2020 Rate Year Cost of Service Formula Rate </t>
  </si>
  <si>
    <t>OKT.020</t>
  </si>
  <si>
    <t>Keystone Dam - Wekiwa 138 kV</t>
  </si>
  <si>
    <t>AEP WEST TRANSMISSION COMPANIES</t>
  </si>
  <si>
    <t>AEP SOUTHWESTERN TRANSMISSION COMPANY, INC.</t>
  </si>
  <si>
    <t>WORKSHEET C-5-A</t>
  </si>
  <si>
    <t>TAX REMEASUREMENTWORKSHEET</t>
  </si>
  <si>
    <t>Debit/(Credit)</t>
  </si>
  <si>
    <t>TAX CUT and JOBS ACT of  2017</t>
  </si>
  <si>
    <t>F=E/C</t>
  </si>
  <si>
    <t xml:space="preserve"> H=E+G</t>
  </si>
  <si>
    <t>J = C - H</t>
  </si>
  <si>
    <t xml:space="preserve">Utility Account </t>
  </si>
  <si>
    <t>12/31/17 Pre-remeasurement Balance</t>
  </si>
  <si>
    <t>Reference</t>
  </si>
  <si>
    <t>Remeasurement Amount (NOTE 1)</t>
  </si>
  <si>
    <t>Remeasurement Percentage (NOTE 2)</t>
  </si>
  <si>
    <t>Adjustments (NOTE 3)</t>
  </si>
  <si>
    <t>Total Excess/Deficiency by Account (NOTE 4)</t>
  </si>
  <si>
    <t>Protected / Unprotected</t>
  </si>
  <si>
    <t>ADIT Deferral After Remeasurement</t>
  </si>
  <si>
    <t>TOTAL COMPANY</t>
  </si>
  <si>
    <t>2018 FF1 P. 234 Col (b) Line 8</t>
  </si>
  <si>
    <t>2018 FF1 P. 274 Col (b) Line 5</t>
  </si>
  <si>
    <t>282.1 Protected Excess ADIT</t>
  </si>
  <si>
    <t>282.1 Unprotected Excess ADIT</t>
  </si>
  <si>
    <t>2018 FF1 P. 276 Col (b) Line 9</t>
  </si>
  <si>
    <t>Less: Accum Deferred State Taxes</t>
  </si>
  <si>
    <t>(Sum of Lns. 3+4+5+7)</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</si>
  <si>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C-5-A, C-5-B,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</si>
  <si>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</si>
  <si>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</si>
  <si>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</si>
  <si>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12/31/2017  deferral balance because of specific ADIT items that are not subject to remeasurement. </t>
  </si>
  <si>
    <t xml:space="preserve">NOTE 3: </t>
  </si>
  <si>
    <t>Adjustments represent the reclass of the remeasurement amount for account 190 to account 283.</t>
  </si>
  <si>
    <t xml:space="preserve">NOTE 4: </t>
  </si>
  <si>
    <t>Ties to Transmission Company’s Workpaper C-5, Column F, showing the initial remeasurement value determined as a result of the Tax Cut and Jobs Act of 2017.</t>
  </si>
  <si>
    <t>AEP SOUTHWESTERN TRANMISSION COMPANY</t>
  </si>
  <si>
    <t>Worksheet C-5</t>
  </si>
  <si>
    <t>Excess/ Deficient ADIT Worksheet</t>
  </si>
  <si>
    <t xml:space="preserve">I </t>
  </si>
  <si>
    <t xml:space="preserve">J </t>
  </si>
  <si>
    <t>Balance Sheet Entries</t>
  </si>
  <si>
    <t>Tax Expense Entries</t>
  </si>
  <si>
    <t xml:space="preserve">Line No. </t>
  </si>
  <si>
    <t>Account (NOTE A)</t>
  </si>
  <si>
    <t>Description of Account</t>
  </si>
  <si>
    <t>Protected
Unprotected</t>
  </si>
  <si>
    <t>Tax Rate Change Act</t>
  </si>
  <si>
    <t>Excess/Deficient  Balance at Remeasurement (NOTE C)</t>
  </si>
  <si>
    <t>Amortization Methodology (NOTE D)</t>
  </si>
  <si>
    <t>Excess / (Deficient) ADIT Regulatory  Offset</t>
  </si>
  <si>
    <t>(Excess) / Deficient ADIT in Utility Deferrals</t>
  </si>
  <si>
    <t>Balance Sheet Account Reclassifications (NOTE I)</t>
  </si>
  <si>
    <t>410/411
Excess / Deficient Amortization (NOTE H)</t>
  </si>
  <si>
    <t>410/411 Deferred Tax Expense/ (Benefit)</t>
  </si>
  <si>
    <t>Excess (Deficient) ADIT Regulatory  Offset</t>
  </si>
  <si>
    <t>(Excess)/Deficient ADIT in Utility Deferrals</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</si>
  <si>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</si>
  <si>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</si>
  <si>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</si>
  <si>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</si>
  <si>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</si>
  <si>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</si>
  <si>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</si>
  <si>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282</t>
    </r>
    <r>
      <rPr>
        <sz val="9"/>
        <color rgb="FFFF0000"/>
        <rFont val="Arial"/>
        <family val="2"/>
      </rPr>
      <t>1</t>
    </r>
    <r>
      <rPr>
        <sz val="9"/>
        <rFont val="Arial"/>
        <family val="2"/>
      </rPr>
      <t>001</t>
    </r>
  </si>
  <si>
    <t>ADFIT - Utility Property</t>
  </si>
  <si>
    <t>ARAM</t>
  </si>
  <si>
    <t>Life of Asset</t>
  </si>
  <si>
    <t>WS C-2 ADIT BOY; WS C-1 ADIT EOY   282 Line # 960F Protected</t>
  </si>
  <si>
    <t>1c</t>
  </si>
  <si>
    <t>5 Years</t>
  </si>
  <si>
    <t>1/2018 - 12/2022</t>
  </si>
  <si>
    <t>WS C-2 ADIT BOY; WS C-1 ADIT EOY   282 Line # 960F Unprotected</t>
  </si>
  <si>
    <t>1d</t>
  </si>
  <si>
    <r>
      <t>282</t>
    </r>
    <r>
      <rPr>
        <sz val="9"/>
        <color rgb="FFFF0000"/>
        <rFont val="Arial"/>
        <family val="2"/>
      </rPr>
      <t>4</t>
    </r>
    <r>
      <rPr>
        <sz val="9"/>
        <rFont val="Arial"/>
        <family val="2"/>
      </rPr>
      <t>001</t>
    </r>
  </si>
  <si>
    <t>ADFIT - Utility Property FAS 109 Excess</t>
  </si>
  <si>
    <t>1e</t>
  </si>
  <si>
    <t>1f</t>
  </si>
  <si>
    <r>
      <t>283</t>
    </r>
    <r>
      <rPr>
        <sz val="9"/>
        <color rgb="FFFF0000"/>
        <rFont val="Arial"/>
        <family val="2"/>
      </rPr>
      <t>1</t>
    </r>
    <r>
      <rPr>
        <sz val="9"/>
        <rFont val="Arial"/>
        <family val="2"/>
      </rPr>
      <t>001</t>
    </r>
  </si>
  <si>
    <t>ADFIT - Other Utility Deferrals</t>
  </si>
  <si>
    <t>1g</t>
  </si>
  <si>
    <r>
      <t>283</t>
    </r>
    <r>
      <rPr>
        <sz val="9"/>
        <color rgb="FFFF0000"/>
        <rFont val="Arial"/>
        <family val="2"/>
      </rPr>
      <t>4</t>
    </r>
    <r>
      <rPr>
        <sz val="9"/>
        <rFont val="Arial"/>
        <family val="2"/>
      </rPr>
      <t>001</t>
    </r>
  </si>
  <si>
    <t>ADFIT - Other FAS 109 Excess</t>
  </si>
  <si>
    <t>1h</t>
  </si>
  <si>
    <t>NOTE  E</t>
  </si>
  <si>
    <t>Regulatory Deferral Accounts</t>
  </si>
  <si>
    <t>2a</t>
  </si>
  <si>
    <t xml:space="preserve">Regulatory Asset  </t>
  </si>
  <si>
    <t xml:space="preserve"> Company Records</t>
  </si>
  <si>
    <t>2b</t>
  </si>
  <si>
    <t>Regulatory Liability</t>
  </si>
  <si>
    <t>2c</t>
  </si>
  <si>
    <t>NOTE F</t>
  </si>
  <si>
    <t>Amortization Amount by Tax Rate Change (NOTE G)</t>
  </si>
  <si>
    <t>Settlement Amortization</t>
  </si>
  <si>
    <t>Book Amortization</t>
  </si>
  <si>
    <t>Amount Used in TRR</t>
  </si>
  <si>
    <t>4a</t>
  </si>
  <si>
    <t>WS C-4 Ln 24</t>
  </si>
  <si>
    <t>4b</t>
  </si>
  <si>
    <t>4c</t>
  </si>
  <si>
    <t>4d</t>
  </si>
  <si>
    <t>4x</t>
  </si>
  <si>
    <t>NOTE E</t>
  </si>
  <si>
    <t>4</t>
  </si>
  <si>
    <t>SWT TCOS, Col (5), Ln 105</t>
  </si>
  <si>
    <t xml:space="preserve">GENERAL NOTE: </t>
  </si>
  <si>
    <t>The information provided on this worksheet reflects the activity on the books of the Company.  In the event the Excess or Deficient ADIT associated with a specific tax rate change will be passed back or recovered on the basis of an approved settlement the Company will use WS C-4 for that purpose, as opposed to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</si>
  <si>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</si>
  <si>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</si>
  <si>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</si>
  <si>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</si>
  <si>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</si>
  <si>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</si>
  <si>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</si>
  <si>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</si>
  <si>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 xml:space="preserve">NOTE E: </t>
  </si>
  <si>
    <t>In the event of future tax rate changes, additional lines will be inserted as required to reflect  any new ADIT or regulatory deferral accounts that may be necessary to track that tax rate change.</t>
  </si>
  <si>
    <t>NOTE F:</t>
  </si>
  <si>
    <t xml:space="preserve">NOTE G: </t>
  </si>
  <si>
    <t>Amortization expense determined on WS C-4 due to a settlement will supersede the amortization of excess and deficient ADIT included in Column N, Ln 3 of this worksheet, due to the primacy of settlement over book amounts in the determination of the revenue requirement.</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</si>
  <si>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</si>
  <si>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</si>
  <si>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</si>
  <si>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</si>
  <si>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For Year Ended December 31, 2021</t>
  </si>
  <si>
    <t>Tax  Rate Change Legislative Act</t>
  </si>
  <si>
    <t>TCJA of 2017</t>
  </si>
  <si>
    <t>Settlement Reference</t>
  </si>
  <si>
    <t>Protected Amortization Period</t>
  </si>
  <si>
    <t>Unprotected Amortization Period</t>
  </si>
  <si>
    <t>Average Rate Assumption Method</t>
  </si>
  <si>
    <t>Five Years Starting 1/1/2018</t>
  </si>
  <si>
    <t>TAX REMEASUREMENT  WORKSHEET</t>
  </si>
  <si>
    <t>H = E+ G</t>
  </si>
  <si>
    <t>ADIT Deferral After Remeasurment</t>
  </si>
  <si>
    <t>190 - Utility</t>
  </si>
  <si>
    <t>(Sum of Lns. 3+4+9)</t>
  </si>
  <si>
    <r>
      <t xml:space="preserve">NOTE </t>
    </r>
    <r>
      <rPr>
        <sz val="9"/>
        <color rgb="FFFF0000"/>
        <rFont val="Arial"/>
        <family val="2"/>
      </rPr>
      <t>E</t>
    </r>
  </si>
  <si>
    <t xml:space="preserve">Reference </t>
  </si>
  <si>
    <t>4z</t>
  </si>
  <si>
    <t xml:space="preserve"> OKT TCOS, Col (5), Ln 105</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</si>
  <si>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</si>
  <si>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The amount of excess amortization entries shown in lines 1b through 1h  are shown as a debit or credit to the ADIT account from which it is being amortized.  The total in line 3  is the offset as charged to the 410/411 account.</t>
  </si>
  <si>
    <t>Amortization expense determined on WS C-4 due to a settlement will supercede the amortization of excess and deficient ADIT included in Column N, Ln 3 of this worksheet, due to the primacy of settlement over book amounts in the determination of the revenue requirement.</t>
  </si>
  <si>
    <t xml:space="preserve">NOTE C: The following table presents supporting information regarding settlements reported on this page. </t>
  </si>
  <si>
    <t xml:space="preserve">NOTE A: In the event of future tax rate changes that will rely on settlement-based amortization amounts or periods, additional columns can be added to reflect those changes. Future settlements addressing the amortization of unprotected excess or deficient ADIT will not be reflected hereon without first obtaining Commission authorization in a section 205 filing under the Federal Power Act.  </t>
  </si>
  <si>
    <t>NOTE B:  In the event that an initial unprotected, excess or deficient ADIT amount changes due to adjustments, residual balances will be amortized in the final year of the amortization period.</t>
  </si>
  <si>
    <t>Balance  per Books- Transmission Function only (190 enter positive, 282/283 enter negative) (NOTE B)</t>
  </si>
  <si>
    <t>(NOTE C)</t>
  </si>
  <si>
    <r>
      <t>190</t>
    </r>
    <r>
      <rPr>
        <sz val="9"/>
        <color rgb="FFFF0000"/>
        <rFont val="Arial"/>
        <family val="2"/>
      </rPr>
      <t>4</t>
    </r>
    <r>
      <rPr>
        <sz val="9"/>
        <rFont val="Arial"/>
        <family val="2"/>
      </rPr>
      <t>002</t>
    </r>
  </si>
  <si>
    <t>1i</t>
  </si>
  <si>
    <t>1j</t>
  </si>
  <si>
    <r>
      <t>283</t>
    </r>
    <r>
      <rPr>
        <sz val="9"/>
        <color rgb="FFFF0000"/>
        <rFont val="Arial"/>
        <family val="2"/>
      </rPr>
      <t>1</t>
    </r>
    <r>
      <rPr>
        <sz val="9"/>
        <rFont val="Arial"/>
        <family val="2"/>
      </rPr>
      <t>002</t>
    </r>
  </si>
  <si>
    <t>1l</t>
  </si>
  <si>
    <r>
      <t>283</t>
    </r>
    <r>
      <rPr>
        <sz val="9"/>
        <color rgb="FFFF0000"/>
        <rFont val="Arial"/>
        <family val="2"/>
      </rPr>
      <t>4</t>
    </r>
    <r>
      <rPr>
        <sz val="9"/>
        <rFont val="Arial"/>
        <family val="2"/>
      </rPr>
      <t>002</t>
    </r>
  </si>
  <si>
    <t>WS C-1 ADIT EOY  283 Line # 911Q-XS Unprotected</t>
  </si>
  <si>
    <t>WS C-1 ADIT EOY  283 Line # 911-XS Unprotected</t>
  </si>
  <si>
    <t>1k</t>
  </si>
  <si>
    <t>2d</t>
  </si>
  <si>
    <t>Regulatory Liability State Excess</t>
  </si>
  <si>
    <t>TOTAL COMPANY BALANCES</t>
  </si>
  <si>
    <t>OK Ad Valorem - 2021</t>
  </si>
  <si>
    <t>NOL Adjustment</t>
  </si>
  <si>
    <t>Tax File</t>
  </si>
  <si>
    <t>NOL Adjusment</t>
  </si>
  <si>
    <t>WORKSHEET C-5-B</t>
  </si>
  <si>
    <t>Louisiana Housebill 292 - Change in SIT Rate from 8.0% to 7.5%</t>
  </si>
  <si>
    <t>12/31/21 Pre-remeasurement Balance</t>
  </si>
  <si>
    <t>Updated Calculation Under New Tax Rate</t>
  </si>
  <si>
    <t>Cumulative Temp. Difference</t>
  </si>
  <si>
    <t>Louisiana Apportionment</t>
  </si>
  <si>
    <t>Subtotal</t>
  </si>
  <si>
    <t>Louisiana Tax Rate</t>
  </si>
  <si>
    <t>Louisiana Cumulative Temp. Difference</t>
  </si>
  <si>
    <t>Existing Calculation Under Prior Tax Rate</t>
  </si>
  <si>
    <t>Louisiana Deferred Balance</t>
  </si>
  <si>
    <t>Louisiana Apportionment - 2020 As Filed</t>
  </si>
  <si>
    <t>Louisiana Deferred Income Tax</t>
  </si>
  <si>
    <t>Total Deferred Tax Benefit / (Detriment)</t>
  </si>
  <si>
    <t>Unprotected.</t>
  </si>
  <si>
    <t>Less: Federal Offset</t>
  </si>
  <si>
    <t xml:space="preserve"> Deferred Tax Benefit / (Detriment) - Net of Federal Impact</t>
  </si>
  <si>
    <t>Ln 14</t>
  </si>
  <si>
    <t xml:space="preserve">Remeasurement calculation may not equal (Not Applicable) of the 12/31/2021  deferral balance because of specific ADIT items that are not subject to remeasurement. </t>
  </si>
  <si>
    <t>Not Applicable</t>
  </si>
  <si>
    <t>LA HB 292</t>
  </si>
  <si>
    <t>Not Determined</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</si>
  <si>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</si>
  <si>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</si>
  <si>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</si>
  <si>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</si>
  <si>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</si>
  <si>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</si>
  <si>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</si>
  <si>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</si>
  <si>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</si>
  <si>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</si>
  <si>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</si>
  <si>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</si>
  <si>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</si>
  <si>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</si>
  <si>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</si>
  <si>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</si>
  <si>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</si>
  <si>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20)</t>
  </si>
  <si>
    <t>Cumulative Temp. Difference - Radials Only</t>
  </si>
  <si>
    <t>NOL (Ln 12 - Ln 32)</t>
  </si>
  <si>
    <t>Less: Federal Offset (Ln 44 * -21%)</t>
  </si>
  <si>
    <t>Deferred Tax Benefit / (Detriment) - Net of Federal Impact</t>
  </si>
  <si>
    <t>(Ln 26 + Ln 32)</t>
  </si>
  <si>
    <t xml:space="preserve">Remeasurement calculation may not equal 50% of the 12/31/2021  deferral balance because of specific ADIT items that are not subject to remeasurement. </t>
  </si>
  <si>
    <t>Oklahoma House Bill 2960 - Decrease of Satutory Rate From 6.0% to 4.0%</t>
  </si>
  <si>
    <t>OK HB 2960</t>
  </si>
  <si>
    <t>Col. N, Lns 1a:1l</t>
  </si>
  <si>
    <t xml:space="preserve">State ADFIT - FAS 109 Excess </t>
  </si>
  <si>
    <t>State FBOS-ADSIT</t>
  </si>
  <si>
    <t>State ADSIT - Other Utility Deferals</t>
  </si>
  <si>
    <t>State ADSIT - FAS 109 Excess</t>
  </si>
  <si>
    <t>Prepaid Use Taxes</t>
  </si>
  <si>
    <t>165001222</t>
  </si>
  <si>
    <t>Note 1 --- Oklahoma has enacted a corporate income tax rate change from 6% to 4% effective beginning in 2022.</t>
  </si>
  <si>
    <t xml:space="preserve">                 Apportionment based on 2021 tax returns</t>
  </si>
  <si>
    <t>Note 1 --- Louisiana has enacted a corporate income tax rate change from 8% to 7.5% effective beginning in 2022</t>
  </si>
  <si>
    <t>Note 2</t>
  </si>
  <si>
    <t>Note 2 --- Arkansas has enacted corporate income tax rate changes: 6.5% in 2020; 6.2% in 2021; 5.9% in 2022</t>
  </si>
  <si>
    <t>675A</t>
  </si>
  <si>
    <t>REG ASSET-FERC Formula Rates Under Recvr</t>
  </si>
  <si>
    <t>Based on West Zone-SPP Monthly Transmission System Firm Peak Demands for the Twelve Months Ended December 31, 2022</t>
  </si>
  <si>
    <t>COLUMN M</t>
  </si>
  <si>
    <t>OK Ad Valorem - 2022</t>
  </si>
  <si>
    <t>1/1/2022 Beginning  Balances</t>
  </si>
  <si>
    <t>12/31/2022 Ending Balance</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</si>
  <si>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</si>
  <si>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</si>
  <si>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</si>
  <si>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</si>
  <si>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</si>
  <si>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</si>
  <si>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</si>
  <si>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</si>
  <si>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</si>
  <si>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</si>
  <si>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</si>
  <si>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</si>
  <si>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</si>
  <si>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</si>
  <si>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</si>
  <si>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</si>
  <si>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</si>
  <si>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</si>
  <si>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</si>
  <si>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OKT.021</t>
  </si>
  <si>
    <t>Tulsa SE - S Hudson 138 kV</t>
  </si>
  <si>
    <t>OKT.022</t>
  </si>
  <si>
    <t>Pryor Junction 138/115 kV</t>
  </si>
  <si>
    <t>PSO OATT Sched 9 load, Ln 1</t>
  </si>
  <si>
    <t>less GRDA load on PSO Jan-Nov(b) 2015 no longer used</t>
  </si>
  <si>
    <t xml:space="preserve">     WFEC load already subtracted  from PSO schedule 9 load line 1</t>
  </si>
  <si>
    <t>Subtotal PSO Schedule 11 load</t>
  </si>
  <si>
    <t>SWEPCO Sched 11 load, Ln 2</t>
  </si>
  <si>
    <t>610A</t>
  </si>
  <si>
    <t>BK PROV UNCOLL ACCTS - ST</t>
  </si>
  <si>
    <t>230A</t>
  </si>
  <si>
    <t>ACRS BENEFIT NORMALIZED</t>
  </si>
  <si>
    <t>230B</t>
  </si>
  <si>
    <t>481 a BONUS DEPRECIATION</t>
  </si>
  <si>
    <t>230X</t>
  </si>
  <si>
    <t>R &amp; D DEDUCTION - SEC 174</t>
  </si>
  <si>
    <t>295A</t>
  </si>
  <si>
    <t>GAIN/LOSS ON ACRS/MACRS PROPERTY</t>
  </si>
  <si>
    <t>320A</t>
  </si>
  <si>
    <t>ABFUDC</t>
  </si>
  <si>
    <t>380J</t>
  </si>
  <si>
    <t>INT EXP CAPITALIZED FOR TAX</t>
  </si>
  <si>
    <t>390A</t>
  </si>
  <si>
    <t>CIAC - BOOK RECEIPTS</t>
  </si>
  <si>
    <t>532C</t>
  </si>
  <si>
    <t>BOOK/TAX UNIT OF PROPERTY ADJ</t>
  </si>
  <si>
    <t>532D</t>
  </si>
  <si>
    <t>BK/TX UNIT OF PROPERTY ADJ-SEC 481 ADJ</t>
  </si>
  <si>
    <t>533J</t>
  </si>
  <si>
    <t>TX ACCEL AMORT - CAPITALIZED SOFTWARE</t>
  </si>
  <si>
    <t>712K</t>
  </si>
  <si>
    <t>CAPITALIZED SOFTWARE COST-BOOK</t>
  </si>
  <si>
    <t>712L</t>
  </si>
  <si>
    <t>CAPITALIZED SOFTWARE COST-BOOKS</t>
  </si>
  <si>
    <t>908B</t>
  </si>
  <si>
    <t>BOOK OPERATING LEASE - ASSET</t>
  </si>
  <si>
    <t>910K</t>
  </si>
  <si>
    <t>REMOVAL CST</t>
  </si>
  <si>
    <t>960F-XS</t>
  </si>
  <si>
    <t>EXCESS ADFIT 282 - PROTECTED.</t>
  </si>
  <si>
    <t>EXCESS ADFIT 282 - UNPROTECTED.</t>
  </si>
  <si>
    <t>014C-DSIT</t>
  </si>
  <si>
    <t>NOL-STATE C/F-DEF STATE TAX ASSET-L/T</t>
  </si>
  <si>
    <t>014C-OK</t>
  </si>
  <si>
    <t>NOL-STATE C/F-DEF TAX ASSET-L/T - OK</t>
  </si>
  <si>
    <t>664J</t>
  </si>
  <si>
    <t>REG ASSET-TRANSCO PRE-FORMATION COSTS</t>
  </si>
  <si>
    <t>911Q-XS</t>
  </si>
  <si>
    <t>EXCESS DSIT - UNPROTECTED OK</t>
  </si>
  <si>
    <t>EXCESS ADFIT 283 - UNPROTECTED.</t>
  </si>
  <si>
    <t>911Q-DSIT</t>
  </si>
  <si>
    <t>DSIT ENTRY - NORMALIZED</t>
  </si>
  <si>
    <t>011C-DFIT</t>
  </si>
  <si>
    <t>TAX CREDIT C/F - DEF TAX ASSET</t>
  </si>
  <si>
    <t>011C-MJE</t>
  </si>
  <si>
    <t xml:space="preserve">TAX CREDIT C/F - DEF TAX ASSET- MJE </t>
  </si>
  <si>
    <t>520A</t>
  </si>
  <si>
    <t>PROVS POSS REV REFDS-A/L</t>
  </si>
  <si>
    <t>520X</t>
  </si>
  <si>
    <t>PROV FOR RATE REFUND-TAX REFORM</t>
  </si>
  <si>
    <t>601E</t>
  </si>
  <si>
    <t>INSURANCE PREMIUMS ACCRUED</t>
  </si>
  <si>
    <t>612Y</t>
  </si>
  <si>
    <t>ACCRD COMPANYWIDE INCENTV PLAN</t>
  </si>
  <si>
    <t>908A</t>
  </si>
  <si>
    <t>BOOK OPERATING LEASE - LIAB</t>
  </si>
  <si>
    <t>014C-AR</t>
  </si>
  <si>
    <t>NOL-STATE C/F-DEF TAX ASSET-L/T - AR</t>
  </si>
  <si>
    <t>014C-LA</t>
  </si>
  <si>
    <t>NOL-STATE C/F-DEF TAX ASSET-L/T - LA</t>
  </si>
  <si>
    <t>014V-DSIT</t>
  </si>
  <si>
    <t>NOL-STATE C/F-VALUATION ALLOWANCE</t>
  </si>
  <si>
    <t>EXCESS DSIT - UNPROTECTED LA</t>
  </si>
  <si>
    <t>615B</t>
  </si>
  <si>
    <t>ACCRUED INTEREST-LONG-TERM - FIN 48</t>
  </si>
  <si>
    <t>960Z</t>
  </si>
  <si>
    <t>NOL - DEFERRED TAX ASSET RECLASS</t>
  </si>
  <si>
    <t>PSO Native Load (a)</t>
  </si>
  <si>
    <t>100% PSO E&amp;W included in PSO native load</t>
  </si>
  <si>
    <t>Allen Holdenville</t>
  </si>
  <si>
    <t xml:space="preserve">SWEPCO Native Load </t>
  </si>
  <si>
    <t>Eastman Load added October 2018</t>
  </si>
  <si>
    <t>VALLEY</t>
  </si>
  <si>
    <t>Rayburn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</si>
</sst>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General_)"/>
    <numFmt numFmtId="200" formatCode="#,##0.000_);\(#,##0.000\)"/>
  </numFmts>
  <fonts count="2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b/>
      <i/>
      <sz val="10"/>
      <name val="Arial"/>
      <family val="2"/>
    </font>
    <font>
      <b/>
      <strike/>
      <sz val="14"/>
      <name val="Arial"/>
      <family val="2"/>
    </font>
    <font>
      <strike/>
      <sz val="12"/>
      <color indexed="10"/>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b/>
      <u val="singleAccounting"/>
      <sz val="10"/>
      <name val="Arial"/>
      <family val="2"/>
    </font>
    <font>
      <sz val="14"/>
      <color indexed="12"/>
      <name val="Helv"/>
    </font>
    <font>
      <sz val="9"/>
      <color indexed="81"/>
      <name val="Tahoma"/>
      <family val="2"/>
    </font>
    <font>
      <b/>
      <sz val="9"/>
      <color indexed="81"/>
      <name val="Tahoma"/>
      <family val="2"/>
    </font>
    <font>
      <b/>
      <sz val="10"/>
      <color indexed="12"/>
      <name val="Arial"/>
      <family val="2"/>
    </font>
    <font>
      <sz val="10"/>
      <color theme="1"/>
      <name val="Calibri"/>
      <family val="2"/>
      <scheme val="minor"/>
    </font>
    <font>
      <sz val="12"/>
      <name val="Arial MT"/>
      <family val="2"/>
    </font>
    <font>
      <sz val="9"/>
      <color rgb="FFFF0000"/>
      <name val="Arial"/>
      <family val="2"/>
    </font>
    <font>
      <i/>
      <sz val="9"/>
      <name val="Arial"/>
      <family val="2"/>
    </font>
    <font>
      <sz val="11"/>
      <color rgb="FF000000"/>
      <name val="Calibri"/>
      <family val="2"/>
      <scheme val="minor"/>
    </font>
    <font>
      <b/>
      <sz val="11"/>
      <color rgb="FF000000"/>
      <name val="Calibri"/>
      <family val="2"/>
      <scheme val="minor"/>
    </font>
    <font>
      <sz val="10"/>
      <name val="Calibri"/>
      <family val="2"/>
      <scheme val="minor"/>
    </font>
    <font>
      <b/>
      <sz val="9"/>
      <name val="Cambria"/>
      <family val="2"/>
      <scheme val="major"/>
    </font>
    <font>
      <b/>
      <sz val="11"/>
      <name val="Calibri"/>
      <family val="2"/>
      <scheme val="minor"/>
    </font>
    <font>
      <sz val="12"/>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rgb="FFFFFF00"/>
        <bgColor indexed="64"/>
      </patternFill>
    </fill>
    <fill>
      <patternFill patternType="solid">
        <fgColor theme="9" tint="0.39997558519241921"/>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solid">
        <fgColor rgb="FF99FF99"/>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auto="1"/>
      </top>
      <bottom/>
      <diagonal/>
    </border>
    <border>
      <left style="thin">
        <color rgb="FFCCCCCC"/>
      </left>
      <right style="thin">
        <color rgb="FFCCCCCC"/>
      </right>
      <top style="thin">
        <color rgb="FFCCCCCC"/>
      </top>
      <bottom style="thin">
        <color rgb="FFCCCCCC"/>
      </bottom>
      <diagonal/>
    </border>
  </borders>
  <cellStyleXfs count="2189">
    <xf numFmtId="0" fontId="0" fillId="0" borderId="0"/>
    <xf numFmtId="0" fontId="29"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140" fillId="29" borderId="0" applyNumberFormat="0" applyBorder="0" applyAlignment="0" applyProtection="0"/>
    <xf numFmtId="0" fontId="29" fillId="2" borderId="0" applyNumberFormat="0" applyBorder="0" applyAlignment="0" applyProtection="0"/>
    <xf numFmtId="0" fontId="94" fillId="2"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40" fillId="30"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29"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140" fillId="31" borderId="0" applyNumberFormat="0" applyBorder="0" applyAlignment="0" applyProtection="0"/>
    <xf numFmtId="0" fontId="29" fillId="4" borderId="0" applyNumberFormat="0" applyBorder="0" applyAlignment="0" applyProtection="0"/>
    <xf numFmtId="0" fontId="94" fillId="4"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40" fillId="32"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29"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140" fillId="33" borderId="0" applyNumberFormat="0" applyBorder="0" applyAlignment="0" applyProtection="0"/>
    <xf numFmtId="0" fontId="29" fillId="6" borderId="0" applyNumberFormat="0" applyBorder="0" applyAlignment="0" applyProtection="0"/>
    <xf numFmtId="0" fontId="94" fillId="6" borderId="0" applyNumberFormat="0" applyBorder="0" applyAlignment="0" applyProtection="0"/>
    <xf numFmtId="0" fontId="29"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140" fillId="34" borderId="0" applyNumberFormat="0" applyBorder="0" applyAlignment="0" applyProtection="0"/>
    <xf numFmtId="0" fontId="29" fillId="7" borderId="0" applyNumberFormat="0" applyBorder="0" applyAlignment="0" applyProtection="0"/>
    <xf numFmtId="0" fontId="94" fillId="7"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40" fillId="35"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40" fillId="36"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40" fillId="37"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40" fillId="38"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40" fillId="39"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29"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140" fillId="40" borderId="0" applyNumberFormat="0" applyBorder="0" applyAlignment="0" applyProtection="0"/>
    <xf numFmtId="0" fontId="29" fillId="11" borderId="0" applyNumberFormat="0" applyBorder="0" applyAlignment="0" applyProtection="0"/>
    <xf numFmtId="0" fontId="94" fillId="11" borderId="0" applyNumberFormat="0" applyBorder="0" applyAlignment="0" applyProtection="0"/>
    <xf numFmtId="0" fontId="30"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141" fillId="41" borderId="0" applyNumberFormat="0" applyBorder="0" applyAlignment="0" applyProtection="0"/>
    <xf numFmtId="0" fontId="30" fillId="12" borderId="0" applyNumberFormat="0" applyBorder="0" applyAlignment="0" applyProtection="0"/>
    <xf numFmtId="0" fontId="95" fillId="12"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41" fillId="42"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41" fillId="43"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141" fillId="44"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141" fillId="45"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30"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141" fillId="46" borderId="0" applyNumberFormat="0" applyBorder="0" applyAlignment="0" applyProtection="0"/>
    <xf numFmtId="0" fontId="30" fillId="15" borderId="0" applyNumberFormat="0" applyBorder="0" applyAlignment="0" applyProtection="0"/>
    <xf numFmtId="0" fontId="95" fillId="15" borderId="0" applyNumberFormat="0" applyBorder="0" applyAlignment="0" applyProtection="0"/>
    <xf numFmtId="0" fontId="30"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141" fillId="47" borderId="0" applyNumberFormat="0" applyBorder="0" applyAlignment="0" applyProtection="0"/>
    <xf numFmtId="0" fontId="30" fillId="16" borderId="0" applyNumberFormat="0" applyBorder="0" applyAlignment="0" applyProtection="0"/>
    <xf numFmtId="0" fontId="95" fillId="16" borderId="0" applyNumberFormat="0" applyBorder="0" applyAlignment="0" applyProtection="0"/>
    <xf numFmtId="0" fontId="30"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141" fillId="48" borderId="0" applyNumberFormat="0" applyBorder="0" applyAlignment="0" applyProtection="0"/>
    <xf numFmtId="0" fontId="30" fillId="17" borderId="0" applyNumberFormat="0" applyBorder="0" applyAlignment="0" applyProtection="0"/>
    <xf numFmtId="0" fontId="95" fillId="17" borderId="0" applyNumberFormat="0" applyBorder="0" applyAlignment="0" applyProtection="0"/>
    <xf numFmtId="0" fontId="30"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141" fillId="49" borderId="0" applyNumberFormat="0" applyBorder="0" applyAlignment="0" applyProtection="0"/>
    <xf numFmtId="0" fontId="30" fillId="18" borderId="0" applyNumberFormat="0" applyBorder="0" applyAlignment="0" applyProtection="0"/>
    <xf numFmtId="0" fontId="95" fillId="18"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141" fillId="50"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141" fillId="51"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30"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141" fillId="52" borderId="0" applyNumberFormat="0" applyBorder="0" applyAlignment="0" applyProtection="0"/>
    <xf numFmtId="0" fontId="30" fillId="19" borderId="0" applyNumberFormat="0" applyBorder="0" applyAlignment="0" applyProtection="0"/>
    <xf numFmtId="0" fontId="95" fillId="19" borderId="0" applyNumberFormat="0" applyBorder="0" applyAlignment="0" applyProtection="0"/>
    <xf numFmtId="0" fontId="31"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142" fillId="53" borderId="0" applyNumberFormat="0" applyBorder="0" applyAlignment="0" applyProtection="0"/>
    <xf numFmtId="0" fontId="31" fillId="3" borderId="0" applyNumberFormat="0" applyBorder="0" applyAlignment="0" applyProtection="0"/>
    <xf numFmtId="0" fontId="96" fillId="3" borderId="0" applyNumberFormat="0" applyBorder="0" applyAlignment="0" applyProtection="0"/>
    <xf numFmtId="172" fontId="32" fillId="0" borderId="0" applyFill="0"/>
    <xf numFmtId="172" fontId="32" fillId="0" borderId="0">
      <alignment horizontal="center"/>
    </xf>
    <xf numFmtId="0" fontId="32" fillId="0" borderId="0" applyFill="0">
      <alignment horizontal="center"/>
    </xf>
    <xf numFmtId="172" fontId="9" fillId="0" borderId="1" applyFill="0"/>
    <xf numFmtId="0" fontId="15" fillId="0" borderId="0" applyFont="0" applyAlignment="0"/>
    <xf numFmtId="0" fontId="15" fillId="0" borderId="0" applyFont="0" applyAlignment="0"/>
    <xf numFmtId="0" fontId="33" fillId="0" borderId="0" applyFill="0">
      <alignment vertical="top"/>
    </xf>
    <xf numFmtId="0" fontId="9" fillId="0" borderId="0" applyFill="0">
      <alignment horizontal="left" vertical="top"/>
    </xf>
    <xf numFmtId="172" fontId="11" fillId="0" borderId="2" applyFill="0"/>
    <xf numFmtId="0" fontId="15" fillId="0" borderId="0" applyNumberFormat="0" applyFont="0" applyAlignment="0"/>
    <xf numFmtId="0" fontId="15" fillId="0" borderId="0" applyNumberFormat="0" applyFont="0" applyAlignment="0"/>
    <xf numFmtId="0" fontId="33" fillId="0" borderId="0" applyFill="0">
      <alignment wrapText="1"/>
    </xf>
    <xf numFmtId="0" fontId="9" fillId="0" borderId="0" applyFill="0">
      <alignment horizontal="left" vertical="top" wrapText="1"/>
    </xf>
    <xf numFmtId="172" fontId="34" fillId="0" borderId="0" applyFill="0"/>
    <xf numFmtId="0" fontId="35" fillId="0" borderId="0" applyNumberFormat="0" applyFont="0" applyAlignment="0">
      <alignment horizontal="center"/>
    </xf>
    <xf numFmtId="0" fontId="36" fillId="0" borderId="0" applyFill="0">
      <alignment vertical="top" wrapText="1"/>
    </xf>
    <xf numFmtId="0" fontId="11" fillId="0" borderId="0" applyFill="0">
      <alignment horizontal="left" vertical="top" wrapText="1"/>
    </xf>
    <xf numFmtId="172" fontId="15" fillId="0" borderId="0" applyFill="0"/>
    <xf numFmtId="172" fontId="15" fillId="0" borderId="0" applyFill="0"/>
    <xf numFmtId="0" fontId="35" fillId="0" borderId="0" applyNumberFormat="0" applyFont="0" applyAlignment="0">
      <alignment horizontal="center"/>
    </xf>
    <xf numFmtId="0" fontId="25" fillId="0" borderId="0" applyFill="0">
      <alignment vertical="center" wrapText="1"/>
    </xf>
    <xf numFmtId="0" fontId="10" fillId="0" borderId="0">
      <alignment horizontal="left" vertical="center" wrapText="1"/>
    </xf>
    <xf numFmtId="172" fontId="23" fillId="0" borderId="0" applyFill="0"/>
    <xf numFmtId="0" fontId="35"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72" fontId="37" fillId="0" borderId="0" applyFill="0"/>
    <xf numFmtId="0" fontId="35"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2" fontId="40" fillId="0" borderId="0" applyFill="0"/>
    <xf numFmtId="0" fontId="35"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20" borderId="3" applyNumberFormat="0" applyAlignment="0" applyProtection="0"/>
    <xf numFmtId="0" fontId="97" fillId="20" borderId="3" applyNumberFormat="0" applyAlignment="0" applyProtection="0"/>
    <xf numFmtId="0" fontId="97" fillId="20" borderId="3" applyNumberFormat="0" applyAlignment="0" applyProtection="0"/>
    <xf numFmtId="0" fontId="143" fillId="54" borderId="55" applyNumberFormat="0" applyAlignment="0" applyProtection="0"/>
    <xf numFmtId="0" fontId="42" fillId="20" borderId="3" applyNumberFormat="0" applyAlignment="0" applyProtection="0"/>
    <xf numFmtId="0" fontId="97" fillId="20" borderId="3" applyNumberFormat="0" applyAlignment="0" applyProtection="0"/>
    <xf numFmtId="0" fontId="43" fillId="21" borderId="4" applyNumberFormat="0" applyAlignment="0" applyProtection="0"/>
    <xf numFmtId="0" fontId="98" fillId="21" borderId="4" applyNumberFormat="0" applyAlignment="0" applyProtection="0"/>
    <xf numFmtId="0" fontId="98" fillId="21" borderId="4" applyNumberFormat="0" applyAlignment="0" applyProtection="0"/>
    <xf numFmtId="0" fontId="144" fillId="55" borderId="56" applyNumberFormat="0" applyAlignment="0" applyProtection="0"/>
    <xf numFmtId="0" fontId="43" fillId="21" borderId="4" applyNumberFormat="0" applyAlignment="0" applyProtection="0"/>
    <xf numFmtId="0" fontId="98" fillId="21" borderId="4" applyNumberFormat="0" applyAlignment="0" applyProtection="0"/>
    <xf numFmtId="43"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0"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0" fontId="27"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3" fontId="100"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44" fontId="15" fillId="0" borderId="0" applyFont="0" applyFill="0" applyBorder="0" applyAlignment="0" applyProtection="0"/>
    <xf numFmtId="44" fontId="12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5" fillId="0" borderId="0" applyFont="0" applyFill="0" applyBorder="0" applyAlignment="0" applyProtection="0"/>
    <xf numFmtId="44" fontId="15" fillId="0" borderId="0" applyFont="0" applyFill="0" applyBorder="0" applyAlignment="0" applyProtection="0"/>
    <xf numFmtId="44" fontId="1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12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35" fillId="0" borderId="0" applyFont="0" applyFill="0" applyBorder="0" applyAlignment="0" applyProtection="0"/>
    <xf numFmtId="44" fontId="15" fillId="0" borderId="0" applyFont="0" applyFill="0" applyBorder="0" applyAlignment="0" applyProtection="0"/>
    <xf numFmtId="44" fontId="1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9" fillId="0" borderId="0" applyFont="0" applyFill="0" applyBorder="0" applyAlignment="0" applyProtection="0"/>
    <xf numFmtId="44" fontId="11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40"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195" fontId="100"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0" fontId="4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0" applyNumberFormat="0" applyFill="0" applyBorder="0" applyAlignment="0" applyProtection="0"/>
    <xf numFmtId="0" fontId="44" fillId="0" borderId="0" applyNumberFormat="0" applyFill="0" applyBorder="0" applyAlignment="0" applyProtection="0"/>
    <xf numFmtId="0" fontId="101" fillId="0" borderId="0" applyNumberForma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2" fontId="100" fillId="0" borderId="0" applyFon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0" fontId="45"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46" fillId="56" borderId="0" applyNumberFormat="0" applyBorder="0" applyAlignment="0" applyProtection="0"/>
    <xf numFmtId="0" fontId="45" fillId="4" borderId="0" applyNumberFormat="0" applyBorder="0" applyAlignment="0" applyProtection="0"/>
    <xf numFmtId="0" fontId="102" fillId="4" borderId="0" applyNumberFormat="0" applyBorder="0" applyAlignment="0" applyProtection="0"/>
    <xf numFmtId="0" fontId="2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7" fillId="0" borderId="57" applyNumberFormat="0" applyFill="0" applyAlignment="0" applyProtection="0"/>
    <xf numFmtId="0" fontId="2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8" fillId="0" borderId="58" applyNumberFormat="0" applyFill="0" applyAlignment="0" applyProtection="0"/>
    <xf numFmtId="0" fontId="1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6"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49" fillId="0" borderId="59" applyNumberFormat="0" applyFill="0" applyAlignment="0" applyProtection="0"/>
    <xf numFmtId="0" fontId="46" fillId="0" borderId="5" applyNumberFormat="0" applyFill="0" applyAlignment="0" applyProtection="0"/>
    <xf numFmtId="0" fontId="105" fillId="0" borderId="5" applyNumberFormat="0" applyFill="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9"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47" fillId="0" borderId="6"/>
    <xf numFmtId="0" fontId="48" fillId="0" borderId="0"/>
    <xf numFmtId="0" fontId="49" fillId="7" borderId="3" applyNumberFormat="0" applyAlignment="0" applyProtection="0"/>
    <xf numFmtId="0" fontId="106" fillId="7" borderId="3" applyNumberFormat="0" applyAlignment="0" applyProtection="0"/>
    <xf numFmtId="0" fontId="106" fillId="7" borderId="3" applyNumberFormat="0" applyAlignment="0" applyProtection="0"/>
    <xf numFmtId="0" fontId="150" fillId="57" borderId="55" applyNumberFormat="0" applyAlignment="0" applyProtection="0"/>
    <xf numFmtId="0" fontId="49" fillId="7" borderId="3" applyNumberFormat="0" applyAlignment="0" applyProtection="0"/>
    <xf numFmtId="0" fontId="106" fillId="7" borderId="3" applyNumberFormat="0" applyAlignment="0" applyProtection="0"/>
    <xf numFmtId="0" fontId="50"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51" fillId="0" borderId="60" applyNumberFormat="0" applyFill="0" applyAlignment="0" applyProtection="0"/>
    <xf numFmtId="0" fontId="50" fillId="0" borderId="7" applyNumberFormat="0" applyFill="0" applyAlignment="0" applyProtection="0"/>
    <xf numFmtId="0" fontId="107" fillId="0" borderId="7" applyNumberFormat="0" applyFill="0" applyAlignment="0" applyProtection="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51"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52" fillId="58" borderId="0" applyNumberFormat="0" applyBorder="0" applyAlignment="0" applyProtection="0"/>
    <xf numFmtId="0" fontId="51" fillId="22" borderId="0" applyNumberFormat="0" applyBorder="0" applyAlignment="0" applyProtection="0"/>
    <xf numFmtId="0" fontId="108" fillId="22" borderId="0" applyNumberFormat="0" applyBorder="0" applyAlignment="0" applyProtection="0"/>
    <xf numFmtId="0" fontId="140" fillId="0" borderId="0"/>
    <xf numFmtId="0" fontId="27" fillId="0" borderId="0"/>
    <xf numFmtId="3" fontId="15" fillId="0" borderId="0"/>
    <xf numFmtId="3" fontId="15" fillId="0" borderId="0"/>
    <xf numFmtId="0" fontId="27" fillId="0" borderId="0"/>
    <xf numFmtId="0" fontId="27" fillId="0" borderId="0"/>
    <xf numFmtId="0" fontId="15" fillId="0" borderId="0"/>
    <xf numFmtId="0" fontId="15" fillId="0" borderId="0"/>
    <xf numFmtId="3" fontId="15" fillId="0" borderId="0"/>
    <xf numFmtId="0" fontId="15" fillId="0" borderId="0"/>
    <xf numFmtId="0" fontId="27" fillId="0" borderId="0"/>
    <xf numFmtId="0" fontId="27" fillId="0" borderId="0"/>
    <xf numFmtId="0" fontId="140" fillId="0" borderId="0"/>
    <xf numFmtId="3" fontId="15" fillId="0" borderId="0"/>
    <xf numFmtId="3" fontId="15" fillId="0" borderId="0"/>
    <xf numFmtId="3" fontId="15" fillId="0" borderId="0"/>
    <xf numFmtId="0"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3" fillId="0" borderId="0"/>
    <xf numFmtId="0" fontId="111" fillId="0" borderId="0"/>
    <xf numFmtId="0" fontId="15" fillId="0" borderId="0"/>
    <xf numFmtId="0" fontId="15" fillId="0" borderId="0"/>
    <xf numFmtId="0" fontId="153"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3" fontId="15" fillId="0" borderId="0"/>
    <xf numFmtId="3" fontId="15" fillId="0" borderId="0"/>
    <xf numFmtId="0" fontId="7" fillId="0" borderId="0"/>
    <xf numFmtId="0" fontId="123" fillId="0" borderId="0"/>
    <xf numFmtId="0" fontId="15" fillId="0" borderId="0"/>
    <xf numFmtId="0" fontId="15" fillId="0" borderId="0"/>
    <xf numFmtId="0" fontId="134" fillId="0" borderId="0"/>
    <xf numFmtId="0" fontId="15" fillId="0" borderId="0"/>
    <xf numFmtId="0" fontId="134" fillId="0" borderId="0"/>
    <xf numFmtId="0" fontId="15" fillId="0" borderId="0"/>
    <xf numFmtId="0" fontId="135" fillId="0" borderId="0"/>
    <xf numFmtId="0" fontId="15" fillId="0" borderId="0"/>
    <xf numFmtId="0" fontId="136" fillId="0" borderId="0"/>
    <xf numFmtId="0" fontId="15" fillId="0" borderId="0"/>
    <xf numFmtId="0" fontId="15" fillId="0" borderId="0"/>
    <xf numFmtId="0" fontId="9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0" fontId="15" fillId="0" borderId="0"/>
    <xf numFmtId="0" fontId="15" fillId="0" borderId="0"/>
    <xf numFmtId="0" fontId="15" fillId="0" borderId="0"/>
    <xf numFmtId="0" fontId="15" fillId="0" borderId="0"/>
    <xf numFmtId="3" fontId="15" fillId="0" borderId="0"/>
    <xf numFmtId="0" fontId="15" fillId="0" borderId="0"/>
    <xf numFmtId="0" fontId="27" fillId="0" borderId="0"/>
    <xf numFmtId="0" fontId="15" fillId="0" borderId="0"/>
    <xf numFmtId="0" fontId="15" fillId="0" borderId="0"/>
    <xf numFmtId="0" fontId="27" fillId="0" borderId="0"/>
    <xf numFmtId="0" fontId="27" fillId="0" borderId="0"/>
    <xf numFmtId="3" fontId="15" fillId="0" borderId="0"/>
    <xf numFmtId="3" fontId="15" fillId="0" borderId="0"/>
    <xf numFmtId="0" fontId="15" fillId="0" borderId="0"/>
    <xf numFmtId="0" fontId="140" fillId="0" borderId="0"/>
    <xf numFmtId="0" fontId="27" fillId="0" borderId="0"/>
    <xf numFmtId="0" fontId="15" fillId="0" borderId="0"/>
    <xf numFmtId="0" fontId="15" fillId="0" borderId="0"/>
    <xf numFmtId="0" fontId="15" fillId="0" borderId="0"/>
    <xf numFmtId="0" fontId="140" fillId="0" borderId="0"/>
    <xf numFmtId="0" fontId="15" fillId="0" borderId="0"/>
    <xf numFmtId="0" fontId="15" fillId="0" borderId="0"/>
    <xf numFmtId="0" fontId="140" fillId="0" borderId="0"/>
    <xf numFmtId="0" fontId="27" fillId="0" borderId="0"/>
    <xf numFmtId="0" fontId="15" fillId="0" borderId="0"/>
    <xf numFmtId="0" fontId="140" fillId="0" borderId="0"/>
    <xf numFmtId="0" fontId="27" fillId="0" borderId="0"/>
    <xf numFmtId="0" fontId="15" fillId="0" borderId="0"/>
    <xf numFmtId="0" fontId="7" fillId="0" borderId="0"/>
    <xf numFmtId="0" fontId="8" fillId="0" borderId="0" applyProtection="0"/>
    <xf numFmtId="0" fontId="7" fillId="0" borderId="0"/>
    <xf numFmtId="0" fontId="15" fillId="0" borderId="0"/>
    <xf numFmtId="0" fontId="7" fillId="0" borderId="0"/>
    <xf numFmtId="172" fontId="8" fillId="0" borderId="0" applyProtection="0"/>
    <xf numFmtId="0" fontId="62" fillId="0" borderId="0"/>
    <xf numFmtId="0" fontId="7" fillId="0" borderId="0"/>
    <xf numFmtId="0" fontId="8" fillId="23" borderId="8" applyNumberFormat="0" applyFont="0" applyAlignment="0" applyProtection="0"/>
    <xf numFmtId="0" fontId="15" fillId="23" borderId="8" applyNumberFormat="0" applyFont="0" applyAlignment="0" applyProtection="0"/>
    <xf numFmtId="0" fontId="94" fillId="59" borderId="61" applyNumberFormat="0" applyFont="0" applyAlignment="0" applyProtection="0"/>
    <xf numFmtId="0" fontId="94" fillId="59" borderId="61" applyNumberFormat="0" applyFont="0" applyAlignment="0" applyProtection="0"/>
    <xf numFmtId="0" fontId="15" fillId="23" borderId="8" applyNumberFormat="0" applyFont="0" applyAlignment="0" applyProtection="0"/>
    <xf numFmtId="0" fontId="94" fillId="59" borderId="61" applyNumberFormat="0" applyFont="0" applyAlignment="0" applyProtection="0"/>
    <xf numFmtId="0" fontId="94" fillId="59" borderId="61" applyNumberFormat="0" applyFont="0" applyAlignment="0" applyProtection="0"/>
    <xf numFmtId="0" fontId="8" fillId="23" borderId="8" applyNumberFormat="0" applyFont="0" applyAlignment="0" applyProtection="0"/>
    <xf numFmtId="0" fontId="15" fillId="23" borderId="8" applyNumberFormat="0" applyFont="0" applyAlignment="0" applyProtection="0"/>
    <xf numFmtId="0" fontId="52" fillId="20" borderId="9" applyNumberFormat="0" applyAlignment="0" applyProtection="0"/>
    <xf numFmtId="0" fontId="109" fillId="20" borderId="9" applyNumberFormat="0" applyAlignment="0" applyProtection="0"/>
    <xf numFmtId="0" fontId="109" fillId="20" borderId="9" applyNumberFormat="0" applyAlignment="0" applyProtection="0"/>
    <xf numFmtId="0" fontId="154" fillId="54" borderId="62" applyNumberFormat="0" applyAlignment="0" applyProtection="0"/>
    <xf numFmtId="0" fontId="52" fillId="20" borderId="9" applyNumberFormat="0" applyAlignment="0" applyProtection="0"/>
    <xf numFmtId="0" fontId="109" fillId="20" borderId="9" applyNumberFormat="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5" fillId="0" borderId="0" applyFont="0" applyFill="0" applyBorder="0" applyAlignment="0" applyProtection="0"/>
    <xf numFmtId="9" fontId="15" fillId="0" borderId="0" applyFont="0" applyFill="0" applyBorder="0" applyAlignment="0" applyProtection="0"/>
    <xf numFmtId="9" fontId="13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5" fillId="0" borderId="0" applyFont="0" applyFill="0" applyBorder="0" applyAlignment="0" applyProtection="0"/>
    <xf numFmtId="9" fontId="15" fillId="0" borderId="0" applyFont="0" applyFill="0" applyBorder="0" applyAlignment="0" applyProtection="0"/>
    <xf numFmtId="9" fontId="13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40"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3" fontId="15" fillId="0" borderId="0">
      <alignment horizontal="left" vertical="top"/>
    </xf>
    <xf numFmtId="3" fontId="15" fillId="0" borderId="0">
      <alignment horizontal="left" vertical="top"/>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3" fontId="15" fillId="0" borderId="0">
      <alignment horizontal="right" vertical="top"/>
    </xf>
    <xf numFmtId="3" fontId="15" fillId="0" borderId="0">
      <alignment horizontal="right" vertical="top"/>
    </xf>
    <xf numFmtId="41" fontId="10" fillId="25" borderId="10" applyFill="0"/>
    <xf numFmtId="0" fontId="53" fillId="0" borderId="0">
      <alignment horizontal="left" indent="7"/>
    </xf>
    <xf numFmtId="41" fontId="10" fillId="0" borderId="10" applyFill="0">
      <alignment horizontal="left" indent="2"/>
    </xf>
    <xf numFmtId="172" fontId="24" fillId="0" borderId="11" applyFill="0">
      <alignment horizontal="right"/>
    </xf>
    <xf numFmtId="0" fontId="12" fillId="0" borderId="12" applyNumberFormat="0" applyFont="0" applyBorder="0">
      <alignment horizontal="right"/>
    </xf>
    <xf numFmtId="0" fontId="54" fillId="0" borderId="0" applyFill="0"/>
    <xf numFmtId="0" fontId="11" fillId="0" borderId="0" applyFill="0"/>
    <xf numFmtId="4" fontId="24" fillId="0" borderId="11" applyFill="0"/>
    <xf numFmtId="0" fontId="15" fillId="0" borderId="0" applyNumberFormat="0" applyFont="0" applyBorder="0" applyAlignment="0"/>
    <xf numFmtId="0" fontId="15" fillId="0" borderId="0" applyNumberFormat="0" applyFont="0" applyBorder="0" applyAlignment="0"/>
    <xf numFmtId="0" fontId="36" fillId="0" borderId="0" applyFill="0">
      <alignment horizontal="left" indent="1"/>
    </xf>
    <xf numFmtId="0" fontId="55" fillId="0" borderId="0" applyFill="0">
      <alignment horizontal="left" indent="1"/>
    </xf>
    <xf numFmtId="4" fontId="23" fillId="0" borderId="0" applyFill="0"/>
    <xf numFmtId="0" fontId="15" fillId="0" borderId="0" applyNumberFormat="0" applyFont="0" applyFill="0" applyBorder="0" applyAlignment="0"/>
    <xf numFmtId="0" fontId="15" fillId="0" borderId="0" applyNumberFormat="0" applyFont="0" applyFill="0" applyBorder="0" applyAlignment="0"/>
    <xf numFmtId="0" fontId="36" fillId="0" borderId="0" applyFill="0">
      <alignment horizontal="left" indent="2"/>
    </xf>
    <xf numFmtId="0" fontId="11" fillId="0" borderId="0" applyFill="0">
      <alignment horizontal="left" indent="2"/>
    </xf>
    <xf numFmtId="4" fontId="23" fillId="0" borderId="0" applyFill="0"/>
    <xf numFmtId="0" fontId="15" fillId="0" borderId="0" applyNumberFormat="0" applyFont="0" applyBorder="0" applyAlignment="0"/>
    <xf numFmtId="0" fontId="15" fillId="0" borderId="0" applyNumberFormat="0" applyFont="0" applyBorder="0" applyAlignment="0"/>
    <xf numFmtId="0" fontId="56" fillId="0" borderId="0">
      <alignment horizontal="left" indent="3"/>
    </xf>
    <xf numFmtId="0" fontId="57" fillId="0" borderId="0" applyFill="0">
      <alignment horizontal="left" indent="3"/>
    </xf>
    <xf numFmtId="4" fontId="23" fillId="0" borderId="0" applyFill="0"/>
    <xf numFmtId="0" fontId="15" fillId="0" borderId="0" applyNumberFormat="0" applyFont="0" applyBorder="0" applyAlignment="0"/>
    <xf numFmtId="0" fontId="15" fillId="0" borderId="0" applyNumberFormat="0" applyFont="0" applyBorder="0" applyAlignment="0"/>
    <xf numFmtId="0" fontId="19" fillId="0" borderId="0">
      <alignment horizontal="left" indent="4"/>
    </xf>
    <xf numFmtId="0" fontId="15" fillId="0" borderId="0" applyFill="0">
      <alignment horizontal="left" indent="4"/>
    </xf>
    <xf numFmtId="0" fontId="15" fillId="0" borderId="0" applyFill="0">
      <alignment horizontal="left" indent="4"/>
    </xf>
    <xf numFmtId="4" fontId="37" fillId="0" borderId="0" applyFill="0"/>
    <xf numFmtId="0" fontId="15" fillId="0" borderId="0" applyNumberFormat="0" applyFont="0" applyBorder="0" applyAlignment="0"/>
    <xf numFmtId="0" fontId="15"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15" fillId="0" borderId="0" applyNumberFormat="0" applyFont="0" applyFill="0" applyBorder="0" applyAlignment="0"/>
    <xf numFmtId="0" fontId="15"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55" fillId="0" borderId="0" applyNumberFormat="0" applyFill="0" applyBorder="0" applyAlignment="0" applyProtection="0"/>
    <xf numFmtId="0" fontId="58" fillId="0" borderId="0" applyNumberFormat="0" applyFill="0" applyBorder="0" applyAlignment="0" applyProtection="0"/>
    <xf numFmtId="0" fontId="15" fillId="0" borderId="0" applyFont="0" applyFill="0" applyBorder="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156" fillId="0" borderId="63" applyNumberFormat="0" applyFill="0" applyAlignment="0" applyProtection="0"/>
    <xf numFmtId="0" fontId="15" fillId="0" borderId="0" applyFont="0" applyFill="0" applyBorder="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5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57" fillId="0" borderId="0" applyNumberFormat="0" applyFill="0" applyBorder="0" applyAlignment="0" applyProtection="0"/>
    <xf numFmtId="0" fontId="59" fillId="0" borderId="0" applyNumberFormat="0" applyFill="0" applyBorder="0" applyAlignment="0" applyProtection="0"/>
    <xf numFmtId="0" fontId="110" fillId="0" borderId="0" applyNumberFormat="0" applyFill="0" applyBorder="0" applyAlignment="0" applyProtection="0"/>
    <xf numFmtId="0" fontId="15" fillId="0" borderId="0"/>
    <xf numFmtId="172" fontId="8" fillId="0" borderId="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 fontId="15" fillId="0" borderId="0"/>
    <xf numFmtId="3" fontId="15" fillId="0" borderId="0"/>
    <xf numFmtId="0" fontId="6" fillId="0" borderId="0"/>
    <xf numFmtId="43" fontId="1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59" borderId="61" applyNumberFormat="0" applyFont="0" applyAlignment="0" applyProtection="0"/>
    <xf numFmtId="0" fontId="5" fillId="29" borderId="0" applyNumberFormat="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6" borderId="0" applyNumberFormat="0" applyBorder="0" applyAlignment="0" applyProtection="0"/>
    <xf numFmtId="0" fontId="5" fillId="31" borderId="0" applyNumberFormat="0" applyBorder="0" applyAlignment="0" applyProtection="0"/>
    <xf numFmtId="0" fontId="5" fillId="37"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3"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0" fontId="5" fillId="0" borderId="0"/>
    <xf numFmtId="37" fontId="166" fillId="0" borderId="0"/>
    <xf numFmtId="8" fontId="27" fillId="0" borderId="0" applyFont="0" applyFill="0" applyBorder="0" applyAlignment="0" applyProtection="0"/>
    <xf numFmtId="9" fontId="2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167" fillId="2"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67" fillId="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167" fillId="4"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67" fillId="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167" fillId="6"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167" fillId="7"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67" fillId="8"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67" fillId="9"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67" fillId="10"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67" fillId="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67" fillId="8"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167" fillId="11" borderId="0" applyNumberFormat="0" applyBorder="0" applyAlignment="0" applyProtection="0"/>
    <xf numFmtId="0" fontId="95" fillId="14" borderId="0" applyNumberFormat="0" applyBorder="0" applyAlignment="0" applyProtection="0"/>
    <xf numFmtId="0" fontId="95"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5" fillId="22" borderId="0" applyNumberFormat="0" applyBorder="0" applyAlignment="0" applyProtection="0"/>
    <xf numFmtId="0" fontId="95" fillId="10" borderId="0" applyNumberFormat="0" applyBorder="0" applyAlignment="0" applyProtection="0"/>
    <xf numFmtId="0" fontId="168" fillId="10" borderId="0" applyNumberFormat="0" applyBorder="0" applyAlignment="0" applyProtection="0"/>
    <xf numFmtId="0" fontId="95" fillId="62" borderId="0" applyNumberFormat="0" applyBorder="0" applyAlignment="0" applyProtection="0"/>
    <xf numFmtId="0" fontId="95"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5" fillId="9" borderId="0" applyNumberFormat="0" applyBorder="0" applyAlignment="0" applyProtection="0"/>
    <xf numFmtId="0" fontId="95" fillId="15" borderId="0" applyNumberFormat="0" applyBorder="0" applyAlignment="0" applyProtection="0"/>
    <xf numFmtId="0" fontId="168" fillId="15" borderId="0" applyNumberFormat="0" applyBorder="0" applyAlignment="0" applyProtection="0"/>
    <xf numFmtId="0" fontId="95" fillId="14" borderId="0" applyNumberFormat="0" applyBorder="0" applyAlignment="0" applyProtection="0"/>
    <xf numFmtId="0" fontId="95"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5" fillId="63" borderId="0" applyNumberFormat="0" applyBorder="0" applyAlignment="0" applyProtection="0"/>
    <xf numFmtId="0" fontId="95"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6" fillId="64" borderId="0" applyNumberFormat="0" applyBorder="0" applyAlignment="0" applyProtection="0"/>
    <xf numFmtId="0" fontId="96" fillId="3" borderId="0" applyNumberFormat="0" applyBorder="0" applyAlignment="0" applyProtection="0"/>
    <xf numFmtId="0" fontId="169" fillId="3" borderId="0" applyNumberFormat="0" applyBorder="0" applyAlignment="0" applyProtection="0"/>
    <xf numFmtId="199" fontId="166" fillId="0" borderId="0" applyNumberFormat="0" applyFont="0" applyAlignment="0" applyProtection="0"/>
    <xf numFmtId="0" fontId="170" fillId="20" borderId="3" applyNumberFormat="0" applyAlignment="0" applyProtection="0"/>
    <xf numFmtId="0" fontId="98" fillId="62" borderId="4" applyNumberFormat="0" applyAlignment="0" applyProtection="0"/>
    <xf numFmtId="0" fontId="98" fillId="21" borderId="4" applyNumberFormat="0" applyAlignment="0" applyProtection="0"/>
    <xf numFmtId="0" fontId="171" fillId="21" borderId="4" applyNumberFormat="0" applyAlignment="0" applyProtection="0"/>
    <xf numFmtId="41"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8"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4"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0" fontId="172" fillId="0" borderId="0" applyNumberFormat="0" applyFill="0" applyBorder="0" applyAlignment="0" applyProtection="0"/>
    <xf numFmtId="2" fontId="7" fillId="0" borderId="0" applyFont="0" applyFill="0" applyBorder="0" applyAlignment="0" applyProtection="0"/>
    <xf numFmtId="0" fontId="173" fillId="4" borderId="0" applyNumberFormat="0" applyBorder="0" applyAlignment="0" applyProtection="0"/>
    <xf numFmtId="0" fontId="174" fillId="0" borderId="70" applyNumberFormat="0" applyFill="0" applyAlignment="0" applyProtection="0"/>
    <xf numFmtId="0" fontId="175" fillId="0" borderId="71" applyNumberFormat="0" applyFill="0" applyAlignment="0" applyProtection="0"/>
    <xf numFmtId="0" fontId="26" fillId="0" borderId="0" applyFont="0" applyFill="0" applyBorder="0" applyAlignment="0" applyProtection="0"/>
    <xf numFmtId="0" fontId="176" fillId="0" borderId="72" applyNumberFormat="0" applyFill="0" applyAlignment="0" applyProtection="0"/>
    <xf numFmtId="0" fontId="177" fillId="0" borderId="73" applyNumberFormat="0" applyFill="0" applyAlignment="0" applyProtection="0"/>
    <xf numFmtId="0" fontId="11" fillId="0" borderId="0" applyFont="0" applyFill="0" applyBorder="0" applyAlignment="0" applyProtection="0"/>
    <xf numFmtId="0" fontId="178" fillId="0" borderId="74" applyNumberFormat="0" applyFill="0" applyAlignment="0" applyProtection="0"/>
    <xf numFmtId="0" fontId="105"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5"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7" fillId="0" borderId="0"/>
    <xf numFmtId="0" fontId="5" fillId="0" borderId="0"/>
    <xf numFmtId="37" fontId="166" fillId="0" borderId="0"/>
    <xf numFmtId="0" fontId="7" fillId="0" borderId="0"/>
    <xf numFmtId="37" fontId="166" fillId="0" borderId="0"/>
    <xf numFmtId="0" fontId="5"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199" fontId="166" fillId="0" borderId="0"/>
    <xf numFmtId="37" fontId="166" fillId="0" borderId="0"/>
    <xf numFmtId="0" fontId="5" fillId="0" borderId="0"/>
    <xf numFmtId="0" fontId="7" fillId="0" borderId="0"/>
    <xf numFmtId="0" fontId="7" fillId="23" borderId="3" applyNumberFormat="0" applyFont="0" applyAlignment="0" applyProtection="0"/>
    <xf numFmtId="0" fontId="7" fillId="23" borderId="3" applyNumberFormat="0" applyFont="0" applyAlignment="0" applyProtection="0"/>
    <xf numFmtId="0" fontId="7" fillId="23" borderId="8" applyNumberFormat="0" applyFont="0" applyAlignment="0" applyProtection="0"/>
    <xf numFmtId="0" fontId="7" fillId="23" borderId="8" applyNumberFormat="0" applyFont="0" applyAlignment="0" applyProtection="0"/>
    <xf numFmtId="0" fontId="5" fillId="59" borderId="61" applyNumberFormat="0" applyFont="0" applyAlignment="0" applyProtection="0"/>
    <xf numFmtId="0" fontId="167" fillId="23" borderId="8" applyNumberFormat="0" applyFont="0" applyAlignment="0" applyProtection="0"/>
    <xf numFmtId="199" fontId="62" fillId="0" borderId="0" applyProtection="0"/>
    <xf numFmtId="0" fontId="186" fillId="20" borderId="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43" fontId="5"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0" fontId="28" fillId="0" borderId="6">
      <alignment horizontal="center"/>
    </xf>
    <xf numFmtId="3" fontId="27" fillId="0" borderId="0" applyFont="0" applyFill="0" applyBorder="0" applyAlignment="0" applyProtection="0"/>
    <xf numFmtId="0" fontId="27" fillId="24" borderId="0" applyNumberFormat="0" applyFont="0" applyBorder="0" applyAlignment="0" applyProtection="0"/>
    <xf numFmtId="0" fontId="187" fillId="0" borderId="0" applyNumberFormat="0" applyFill="0" applyBorder="0" applyAlignment="0" applyProtection="0"/>
    <xf numFmtId="0" fontId="58" fillId="0" borderId="0" applyNumberFormat="0" applyFill="0" applyBorder="0" applyAlignment="0" applyProtection="0"/>
    <xf numFmtId="0" fontId="188" fillId="0" borderId="75" applyNumberFormat="0" applyFill="0" applyAlignment="0" applyProtection="0"/>
    <xf numFmtId="0" fontId="188" fillId="0" borderId="76" applyNumberFormat="0" applyFill="0" applyAlignment="0" applyProtection="0"/>
    <xf numFmtId="0" fontId="7" fillId="0" borderId="0" applyFont="0" applyFill="0" applyBorder="0" applyAlignment="0" applyProtection="0"/>
    <xf numFmtId="0" fontId="189" fillId="0" borderId="0" applyNumberForma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7" fillId="0" borderId="0" applyFont="0" applyAlignment="0"/>
    <xf numFmtId="0" fontId="7" fillId="0" borderId="0" applyNumberFormat="0" applyFont="0" applyAlignment="0"/>
    <xf numFmtId="172" fontId="7" fillId="0" borderId="0" applyFill="0"/>
    <xf numFmtId="0" fontId="7" fillId="0" borderId="0" applyFill="0">
      <alignment horizontal="center" vertical="center" wrapText="1"/>
    </xf>
    <xf numFmtId="0" fontId="43" fillId="21" borderId="4"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5" applyNumberFormat="0" applyFill="0" applyAlignment="0" applyProtection="0"/>
    <xf numFmtId="0" fontId="46" fillId="0" borderId="0" applyNumberFormat="0" applyFill="0" applyBorder="0" applyAlignment="0" applyProtection="0"/>
    <xf numFmtId="0" fontId="49" fillId="7" borderId="3" applyNumberFormat="0" applyAlignment="0" applyProtection="0"/>
    <xf numFmtId="0" fontId="50" fillId="0" borderId="7" applyNumberFormat="0" applyFill="0" applyAlignment="0" applyProtection="0"/>
    <xf numFmtId="0" fontId="51" fillId="22" borderId="0" applyNumberFormat="0" applyBorder="0" applyAlignment="0" applyProtection="0"/>
    <xf numFmtId="0" fontId="7" fillId="0" borderId="0"/>
    <xf numFmtId="0" fontId="7" fillId="0" borderId="0"/>
    <xf numFmtId="3" fontId="7" fillId="0" borderId="0"/>
    <xf numFmtId="0" fontId="8" fillId="23" borderId="8" applyNumberFormat="0" applyFont="0" applyAlignment="0" applyProtection="0"/>
    <xf numFmtId="0" fontId="52" fillId="20" borderId="9" applyNumberFormat="0" applyAlignment="0" applyProtection="0"/>
    <xf numFmtId="9" fontId="7" fillId="0" borderId="0" applyFont="0" applyFill="0" applyBorder="0" applyAlignment="0" applyProtection="0"/>
    <xf numFmtId="3" fontId="7" fillId="0" borderId="0">
      <alignment horizontal="left" vertical="top"/>
    </xf>
    <xf numFmtId="3" fontId="7" fillId="0" borderId="0">
      <alignment horizontal="right" vertical="top"/>
    </xf>
    <xf numFmtId="0" fontId="7" fillId="0" borderId="0" applyNumberFormat="0" applyFont="0" applyBorder="0" applyAlignment="0"/>
    <xf numFmtId="0" fontId="7" fillId="0" borderId="0" applyNumberFormat="0" applyFont="0" applyFill="0" applyBorder="0" applyAlignment="0"/>
    <xf numFmtId="0" fontId="7" fillId="0" borderId="0" applyNumberFormat="0" applyFont="0" applyBorder="0" applyAlignment="0"/>
    <xf numFmtId="0" fontId="7" fillId="0" borderId="0" applyNumberFormat="0" applyFont="0" applyBorder="0" applyAlignment="0"/>
    <xf numFmtId="0" fontId="7" fillId="0" borderId="0" applyFill="0">
      <alignment horizontal="left" indent="4"/>
    </xf>
    <xf numFmtId="0" fontId="7" fillId="0" borderId="0" applyNumberFormat="0" applyFont="0" applyBorder="0" applyAlignment="0"/>
    <xf numFmtId="0" fontId="7" fillId="0" borderId="0" applyNumberFormat="0" applyFont="0" applyFill="0" applyBorder="0" applyAlignment="0"/>
    <xf numFmtId="0" fontId="59" fillId="0" borderId="0" applyNumberFormat="0" applyFill="0" applyBorder="0" applyAlignment="0" applyProtection="0"/>
    <xf numFmtId="0" fontId="30" fillId="12" borderId="0" applyNumberFormat="0" applyBorder="0" applyAlignment="0" applyProtection="0"/>
    <xf numFmtId="43" fontId="7" fillId="0" borderId="0" applyFont="0" applyFill="0" applyBorder="0" applyAlignment="0" applyProtection="0"/>
    <xf numFmtId="0" fontId="42" fillId="20" borderId="3"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90"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4" fontId="205" fillId="0" borderId="0" applyFont="0" applyFill="0" applyBorder="0" applyAlignment="0" applyProtection="0"/>
    <xf numFmtId="43" fontId="205"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7" fillId="0" borderId="0" applyFont="0" applyAlignment="0"/>
    <xf numFmtId="0" fontId="7" fillId="0" borderId="0" applyNumberFormat="0" applyFont="0" applyAlignment="0"/>
    <xf numFmtId="172" fontId="7" fillId="0" borderId="0" applyFill="0"/>
    <xf numFmtId="0" fontId="7" fillId="0" borderId="0" applyFill="0">
      <alignment horizontal="center"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0" fontId="3" fillId="0" borderId="0"/>
    <xf numFmtId="3" fontId="7" fillId="0" borderId="0"/>
    <xf numFmtId="3" fontId="7" fillId="0" borderId="0"/>
    <xf numFmtId="0" fontId="7" fillId="0" borderId="0"/>
    <xf numFmtId="3" fontId="7" fillId="0" borderId="0"/>
    <xf numFmtId="0" fontId="7" fillId="0" borderId="0"/>
    <xf numFmtId="0" fontId="3"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7" fillId="0" borderId="0"/>
    <xf numFmtId="3"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23" borderId="8" applyNumberFormat="0" applyFont="0" applyAlignment="0" applyProtection="0"/>
    <xf numFmtId="0" fontId="7" fillId="23" borderId="8" applyNumberFormat="0" applyFont="0" applyAlignment="0" applyProtection="0"/>
    <xf numFmtId="0" fontId="7" fillId="23" borderId="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7" fillId="0" borderId="0">
      <alignment horizontal="left" vertical="top"/>
    </xf>
    <xf numFmtId="3" fontId="7" fillId="0" borderId="0">
      <alignment horizontal="right" vertical="top"/>
    </xf>
    <xf numFmtId="0" fontId="7" fillId="0" borderId="0" applyNumberFormat="0" applyFont="0" applyBorder="0" applyAlignment="0"/>
    <xf numFmtId="0" fontId="7" fillId="0" borderId="0" applyNumberFormat="0" applyFont="0" applyFill="0" applyBorder="0" applyAlignment="0"/>
    <xf numFmtId="0" fontId="7" fillId="0" borderId="0" applyNumberFormat="0" applyFont="0" applyBorder="0" applyAlignment="0"/>
    <xf numFmtId="0" fontId="7" fillId="0" borderId="0" applyNumberFormat="0" applyFont="0" applyBorder="0" applyAlignment="0"/>
    <xf numFmtId="0" fontId="7" fillId="0" borderId="0" applyFill="0">
      <alignment horizontal="left" indent="4"/>
    </xf>
    <xf numFmtId="0" fontId="7" fillId="0" borderId="0" applyNumberFormat="0" applyFont="0" applyBorder="0" applyAlignment="0"/>
    <xf numFmtId="0" fontId="7" fillId="0" borderId="0" applyNumberFormat="0" applyFont="0" applyFill="0" applyBorder="0" applyAlignment="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7" fillId="0" borderId="0"/>
    <xf numFmtId="3" fontId="7" fillId="0" borderId="0"/>
    <xf numFmtId="0" fontId="3"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59" borderId="61" applyNumberFormat="0" applyFont="0" applyAlignment="0" applyProtection="0"/>
    <xf numFmtId="0" fontId="3" fillId="29"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6" borderId="0" applyNumberFormat="0" applyBorder="0" applyAlignment="0" applyProtection="0"/>
    <xf numFmtId="0" fontId="3" fillId="31"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4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59"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2" fontId="8" fillId="0" borderId="0" applyProtection="0"/>
    <xf numFmtId="0" fontId="2" fillId="0" borderId="0"/>
    <xf numFmtId="43" fontId="8" fillId="0" borderId="0" applyFont="0" applyFill="0" applyBorder="0" applyAlignment="0" applyProtection="0"/>
    <xf numFmtId="9" fontId="8" fillId="0" borderId="0" applyFont="0" applyFill="0" applyBorder="0" applyAlignment="0" applyProtection="0"/>
    <xf numFmtId="9" fontId="212" fillId="0" borderId="0" applyFont="0" applyFill="0" applyBorder="0" applyAlignment="0" applyProtection="0"/>
    <xf numFmtId="172" fontId="212" fillId="0" borderId="0" applyProtection="0"/>
    <xf numFmtId="43" fontId="2" fillId="0" borderId="0" applyFont="0" applyFill="0" applyBorder="0" applyAlignment="0" applyProtection="0"/>
    <xf numFmtId="43" fontId="212" fillId="0" borderId="0" applyFont="0" applyFill="0" applyBorder="0" applyAlignment="0" applyProtection="0"/>
    <xf numFmtId="9" fontId="2" fillId="0" borderId="0" applyFont="0" applyFill="0" applyBorder="0" applyAlignment="0" applyProtection="0"/>
    <xf numFmtId="0" fontId="1" fillId="0" borderId="0"/>
    <xf numFmtId="0" fontId="215" fillId="0" borderId="78">
      <alignment vertical="top"/>
    </xf>
    <xf numFmtId="41" fontId="190" fillId="0" borderId="0" applyFont="0" applyFill="0" applyBorder="0" applyAlignment="0" applyProtection="0"/>
    <xf numFmtId="9" fontId="19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9" fontId="218" fillId="0" borderId="0">
      <alignment horizontal="center" vertical="center" wrapText="1" indent="1"/>
    </xf>
    <xf numFmtId="43" fontId="8" fillId="0" borderId="0" applyFont="0" applyFill="0" applyBorder="0" applyAlignment="0" applyProtection="0"/>
    <xf numFmtId="172" fontId="8" fillId="0" borderId="0" applyProtection="0"/>
    <xf numFmtId="0" fontId="215" fillId="0" borderId="78">
      <alignment vertical="top"/>
    </xf>
    <xf numFmtId="0" fontId="1" fillId="0" borderId="0"/>
  </cellStyleXfs>
  <cellXfs count="2325">
    <xf numFmtId="0" fontId="0" fillId="0" borderId="0" xfId="0"/>
    <xf numFmtId="0" fontId="15" fillId="0" borderId="0" xfId="881" applyNumberFormat="1" applyFont="1" applyFill="1" applyBorder="1" applyAlignment="1" applyProtection="1"/>
    <xf numFmtId="0" fontId="112" fillId="0" borderId="0" xfId="883" applyFont="1" applyFill="1" applyAlignment="1" applyProtection="1">
      <alignment vertical="top"/>
    </xf>
    <xf numFmtId="0" fontId="112" fillId="0" borderId="0" xfId="883" applyFont="1" applyFill="1" applyProtection="1"/>
    <xf numFmtId="0" fontId="7" fillId="0" borderId="0" xfId="1176" applyFont="1" applyFill="1" applyAlignment="1" applyProtection="1">
      <alignment vertical="top"/>
    </xf>
    <xf numFmtId="0" fontId="7" fillId="0" borderId="0" xfId="1172" applyFont="1" applyAlignment="1" applyProtection="1">
      <alignment vertical="top" wrapText="1"/>
    </xf>
    <xf numFmtId="0" fontId="71" fillId="0" borderId="0" xfId="1177" applyFont="1" applyFill="1" applyProtection="1"/>
    <xf numFmtId="0" fontId="7" fillId="0" borderId="0" xfId="881" applyNumberFormat="1" applyFont="1" applyFill="1" applyBorder="1" applyAlignment="1" applyProtection="1">
      <alignment horizontal="center"/>
    </xf>
    <xf numFmtId="0" fontId="12" fillId="0" borderId="0" xfId="1177" applyFont="1" applyFill="1" applyAlignment="1" applyProtection="1">
      <alignment horizontal="left"/>
    </xf>
    <xf numFmtId="173" fontId="7" fillId="0" borderId="0" xfId="1175" applyNumberFormat="1" applyFont="1" applyFill="1" applyProtection="1"/>
    <xf numFmtId="0" fontId="7" fillId="0" borderId="0" xfId="1177" applyFont="1" applyFill="1" applyProtection="1"/>
    <xf numFmtId="0" fontId="7" fillId="0" borderId="0" xfId="1179" applyFont="1" applyFill="1" applyAlignment="1" applyProtection="1">
      <alignment horizontal="left"/>
    </xf>
    <xf numFmtId="0" fontId="7" fillId="0" borderId="0" xfId="1176" applyFont="1" applyFill="1" applyAlignment="1" applyProtection="1">
      <alignment horizontal="left"/>
    </xf>
    <xf numFmtId="0" fontId="7" fillId="0" borderId="0" xfId="1178" applyFont="1" applyFill="1" applyProtection="1"/>
    <xf numFmtId="0" fontId="7" fillId="0" borderId="0" xfId="1178" applyProtection="1"/>
    <xf numFmtId="10" fontId="7" fillId="0" borderId="0" xfId="1180" applyNumberFormat="1" applyFont="1" applyFill="1" applyBorder="1" applyProtection="1"/>
    <xf numFmtId="10" fontId="12" fillId="0" borderId="0" xfId="1180" applyNumberFormat="1" applyFont="1" applyFill="1" applyBorder="1" applyProtection="1"/>
    <xf numFmtId="0" fontId="12" fillId="0" borderId="0" xfId="1177" applyFont="1" applyFill="1" applyProtection="1"/>
    <xf numFmtId="173" fontId="7" fillId="0" borderId="0" xfId="1180" applyNumberFormat="1" applyFont="1" applyFill="1" applyBorder="1" applyProtection="1"/>
    <xf numFmtId="0" fontId="7" fillId="0" borderId="0" xfId="1177" applyFont="1" applyFill="1" applyAlignment="1" applyProtection="1">
      <alignment horizontal="left"/>
    </xf>
    <xf numFmtId="10" fontId="12" fillId="0" borderId="13" xfId="1180" applyNumberFormat="1" applyFont="1" applyFill="1" applyBorder="1" applyProtection="1"/>
    <xf numFmtId="0" fontId="163" fillId="0" borderId="0" xfId="1178" applyFont="1" applyAlignment="1" applyProtection="1">
      <alignment horizontal="center"/>
    </xf>
    <xf numFmtId="0" fontId="12" fillId="0" borderId="0" xfId="881" applyNumberFormat="1" applyFont="1" applyFill="1" applyBorder="1" applyAlignment="1" applyProtection="1">
      <alignment vertical="center"/>
    </xf>
    <xf numFmtId="0" fontId="165" fillId="0" borderId="0" xfId="1172" applyFont="1" applyProtection="1"/>
    <xf numFmtId="0" fontId="18" fillId="0" borderId="0" xfId="1177" applyFont="1" applyFill="1" applyProtection="1"/>
    <xf numFmtId="0" fontId="18" fillId="0" borderId="0" xfId="1177" applyFont="1" applyProtection="1"/>
    <xf numFmtId="0" fontId="86" fillId="0" borderId="0" xfId="1172" applyFont="1" applyAlignment="1" applyProtection="1"/>
    <xf numFmtId="0" fontId="7" fillId="0" borderId="0" xfId="881" applyNumberFormat="1" applyFont="1" applyFill="1" applyBorder="1" applyAlignment="1" applyProtection="1"/>
    <xf numFmtId="0" fontId="12" fillId="0" borderId="0" xfId="1177" applyFont="1" applyFill="1" applyAlignment="1" applyProtection="1">
      <alignment horizontal="center" wrapText="1"/>
    </xf>
    <xf numFmtId="173" fontId="18" fillId="0" borderId="0" xfId="1177" applyNumberFormat="1" applyFont="1" applyFill="1" applyProtection="1"/>
    <xf numFmtId="0" fontId="7" fillId="0" borderId="0" xfId="1172" applyProtection="1"/>
    <xf numFmtId="0" fontId="7" fillId="0" borderId="0" xfId="1172" applyFont="1" applyProtection="1"/>
    <xf numFmtId="0" fontId="7" fillId="0" borderId="11" xfId="1172" applyFont="1" applyBorder="1" applyProtection="1"/>
    <xf numFmtId="0" fontId="18" fillId="0" borderId="11" xfId="1177" applyFont="1" applyFill="1" applyBorder="1" applyProtection="1"/>
    <xf numFmtId="0" fontId="7" fillId="61" borderId="0" xfId="1177" applyFont="1" applyFill="1" applyAlignment="1" applyProtection="1">
      <alignment horizontal="left"/>
    </xf>
    <xf numFmtId="41" fontId="7" fillId="0" borderId="0" xfId="1180" applyNumberFormat="1" applyFont="1" applyFill="1" applyBorder="1" applyProtection="1"/>
    <xf numFmtId="173" fontId="18" fillId="0" borderId="0" xfId="1177" applyNumberFormat="1" applyFont="1" applyProtection="1"/>
    <xf numFmtId="186" fontId="7" fillId="0" borderId="0" xfId="1175" applyNumberFormat="1" applyFont="1" applyFill="1" applyBorder="1" applyProtection="1"/>
    <xf numFmtId="10" fontId="18" fillId="0" borderId="0" xfId="1180" applyNumberFormat="1" applyFont="1" applyFill="1" applyProtection="1"/>
    <xf numFmtId="173" fontId="7" fillId="0" borderId="0" xfId="1175" applyNumberFormat="1" applyFont="1" applyFill="1" applyBorder="1" applyProtection="1"/>
    <xf numFmtId="173" fontId="12" fillId="0" borderId="13" xfId="1175" applyNumberFormat="1" applyFont="1" applyFill="1" applyBorder="1" applyProtection="1"/>
    <xf numFmtId="0" fontId="71" fillId="0" borderId="0" xfId="1177" applyFont="1" applyFill="1" applyAlignment="1" applyProtection="1">
      <alignment horizontal="left"/>
    </xf>
    <xf numFmtId="0" fontId="18" fillId="0" borderId="0" xfId="1177" applyFont="1" applyFill="1" applyAlignment="1" applyProtection="1">
      <alignment horizontal="left"/>
    </xf>
    <xf numFmtId="41" fontId="72" fillId="0" borderId="0" xfId="1177" applyNumberFormat="1" applyFont="1" applyFill="1" applyProtection="1"/>
    <xf numFmtId="173" fontId="7" fillId="0" borderId="2" xfId="1180" applyNumberFormat="1" applyFont="1" applyFill="1" applyBorder="1" applyProtection="1"/>
    <xf numFmtId="0" fontId="7" fillId="0" borderId="0" xfId="1177" applyFont="1" applyFill="1" applyBorder="1" applyProtection="1"/>
    <xf numFmtId="0" fontId="7" fillId="0" borderId="0" xfId="881" applyNumberFormat="1" applyFont="1" applyFill="1" applyBorder="1" applyAlignment="1" applyProtection="1">
      <alignment horizontal="center" vertical="top"/>
    </xf>
    <xf numFmtId="0" fontId="10" fillId="0" borderId="0" xfId="760" applyFont="1" applyFill="1" applyProtection="1"/>
    <xf numFmtId="0" fontId="10" fillId="0" borderId="0" xfId="1528" applyFont="1" applyFill="1" applyProtection="1"/>
    <xf numFmtId="0" fontId="7" fillId="0" borderId="0" xfId="1178" applyFont="1" applyFill="1" applyAlignment="1" applyProtection="1">
      <alignment wrapText="1"/>
    </xf>
    <xf numFmtId="41" fontId="12" fillId="0" borderId="0" xfId="1177" applyNumberFormat="1" applyFont="1" applyFill="1" applyBorder="1" applyAlignment="1" applyProtection="1">
      <alignment horizontal="center" wrapText="1"/>
    </xf>
    <xf numFmtId="172" fontId="159" fillId="0" borderId="0" xfId="881" applyFont="1" applyFill="1" applyAlignment="1" applyProtection="1"/>
    <xf numFmtId="172" fontId="8" fillId="0" borderId="0" xfId="881" applyFont="1" applyFill="1" applyAlignment="1" applyProtection="1"/>
    <xf numFmtId="172" fontId="10" fillId="0" borderId="0" xfId="881" applyFont="1" applyFill="1" applyAlignment="1" applyProtection="1"/>
    <xf numFmtId="0" fontId="15" fillId="0" borderId="0" xfId="775" applyFont="1" applyFill="1" applyProtection="1"/>
    <xf numFmtId="0" fontId="10" fillId="0" borderId="0" xfId="881" applyNumberFormat="1" applyFont="1" applyFill="1" applyAlignment="1" applyProtection="1">
      <alignment horizontal="right"/>
    </xf>
    <xf numFmtId="0" fontId="10" fillId="0" borderId="0" xfId="275" applyNumberFormat="1" applyFont="1" applyFill="1" applyAlignment="1" applyProtection="1">
      <alignment horizontal="center"/>
    </xf>
    <xf numFmtId="0" fontId="10" fillId="0" borderId="0" xfId="881" applyNumberFormat="1" applyFont="1" applyFill="1" applyAlignment="1" applyProtection="1"/>
    <xf numFmtId="0" fontId="10" fillId="0" borderId="0" xfId="0" applyNumberFormat="1" applyFont="1" applyFill="1" applyAlignment="1" applyProtection="1">
      <alignment horizontal="center"/>
    </xf>
    <xf numFmtId="0" fontId="10" fillId="0" borderId="0" xfId="775" applyFont="1" applyFill="1" applyAlignment="1" applyProtection="1"/>
    <xf numFmtId="0" fontId="10" fillId="0" borderId="0" xfId="881" applyNumberFormat="1" applyFont="1" applyFill="1" applyProtection="1"/>
    <xf numFmtId="3" fontId="10" fillId="0" borderId="0" xfId="881" applyNumberFormat="1" applyFont="1" applyFill="1" applyAlignment="1" applyProtection="1"/>
    <xf numFmtId="3" fontId="10" fillId="0" borderId="0" xfId="775" applyNumberFormat="1" applyFont="1" applyFill="1" applyAlignment="1" applyProtection="1">
      <alignment horizontal="center"/>
    </xf>
    <xf numFmtId="0" fontId="10" fillId="0" borderId="0" xfId="775" applyNumberFormat="1" applyFont="1" applyFill="1" applyAlignment="1" applyProtection="1">
      <alignment horizontal="center"/>
    </xf>
    <xf numFmtId="0" fontId="8" fillId="0" borderId="0" xfId="881" applyNumberFormat="1" applyFont="1" applyFill="1" applyAlignment="1" applyProtection="1">
      <alignment horizontal="center"/>
    </xf>
    <xf numFmtId="0" fontId="10" fillId="0" borderId="0" xfId="881" applyNumberFormat="1" applyFont="1" applyFill="1" applyAlignment="1" applyProtection="1">
      <alignment horizontal="center"/>
    </xf>
    <xf numFmtId="49" fontId="10" fillId="0" borderId="0" xfId="881" applyNumberFormat="1" applyFont="1" applyFill="1" applyAlignment="1" applyProtection="1">
      <alignment horizontal="center"/>
    </xf>
    <xf numFmtId="49" fontId="11" fillId="0" borderId="0" xfId="881" applyNumberFormat="1" applyFont="1" applyFill="1" applyAlignment="1" applyProtection="1">
      <alignment horizontal="center"/>
    </xf>
    <xf numFmtId="49" fontId="10" fillId="0" borderId="0" xfId="881" applyNumberFormat="1" applyFont="1" applyFill="1" applyProtection="1"/>
    <xf numFmtId="0" fontId="15" fillId="0" borderId="0" xfId="775" applyProtection="1"/>
    <xf numFmtId="172" fontId="11" fillId="0" borderId="0" xfId="881" applyFont="1" applyFill="1" applyAlignment="1" applyProtection="1">
      <alignment horizontal="center"/>
    </xf>
    <xf numFmtId="0" fontId="11" fillId="0" borderId="0" xfId="881" applyNumberFormat="1" applyFont="1" applyFill="1" applyAlignment="1" applyProtection="1">
      <alignment horizontal="center"/>
    </xf>
    <xf numFmtId="0" fontId="11" fillId="0" borderId="0" xfId="881" quotePrefix="1" applyNumberFormat="1" applyFont="1" applyFill="1" applyAlignment="1" applyProtection="1">
      <alignment horizontal="center"/>
    </xf>
    <xf numFmtId="0" fontId="8" fillId="0" borderId="6" xfId="881" applyNumberFormat="1" applyFont="1" applyFill="1" applyBorder="1" applyAlignment="1" applyProtection="1">
      <alignment horizontal="center"/>
    </xf>
    <xf numFmtId="0" fontId="10" fillId="0" borderId="0"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
    </xf>
    <xf numFmtId="0" fontId="78" fillId="0" borderId="0" xfId="881" applyNumberFormat="1" applyFont="1" applyFill="1" applyBorder="1" applyAlignment="1" applyProtection="1">
      <alignment horizontal="left"/>
    </xf>
    <xf numFmtId="0" fontId="10" fillId="0" borderId="0" xfId="775" applyNumberFormat="1" applyFont="1" applyFill="1" applyProtection="1"/>
    <xf numFmtId="173" fontId="10" fillId="0" borderId="0" xfId="275" applyNumberFormat="1" applyFont="1" applyFill="1" applyAlignment="1" applyProtection="1"/>
    <xf numFmtId="170" fontId="10" fillId="0" borderId="0" xfId="881" applyNumberFormat="1" applyFont="1" applyFill="1" applyAlignment="1" applyProtection="1"/>
    <xf numFmtId="172" fontId="32" fillId="0" borderId="0" xfId="881" applyFont="1" applyFill="1" applyAlignment="1" applyProtection="1"/>
    <xf numFmtId="170" fontId="10" fillId="0" borderId="0" xfId="881" applyNumberFormat="1" applyFont="1" applyFill="1" applyProtection="1"/>
    <xf numFmtId="172" fontId="10" fillId="0" borderId="0" xfId="881" applyFont="1" applyFill="1" applyBorder="1" applyAlignment="1" applyProtection="1"/>
    <xf numFmtId="0" fontId="10" fillId="0" borderId="0" xfId="881" applyNumberFormat="1" applyFont="1" applyFill="1" applyBorder="1" applyProtection="1"/>
    <xf numFmtId="170" fontId="10" fillId="0" borderId="0" xfId="881" applyNumberFormat="1" applyFont="1" applyFill="1" applyBorder="1" applyAlignment="1" applyProtection="1"/>
    <xf numFmtId="1" fontId="10" fillId="0" borderId="0" xfId="881" applyNumberFormat="1" applyFont="1" applyFill="1" applyAlignment="1" applyProtection="1">
      <alignment horizontal="center"/>
    </xf>
    <xf numFmtId="170" fontId="10" fillId="0" borderId="2" xfId="881" applyNumberFormat="1" applyFont="1" applyFill="1" applyBorder="1" applyAlignment="1" applyProtection="1"/>
    <xf numFmtId="164" fontId="32" fillId="0" borderId="0" xfId="912" applyNumberFormat="1" applyFont="1" applyFill="1" applyAlignment="1" applyProtection="1">
      <alignment horizontal="center"/>
    </xf>
    <xf numFmtId="173" fontId="10" fillId="0" borderId="11" xfId="275" applyNumberFormat="1" applyFont="1" applyFill="1" applyBorder="1" applyAlignment="1" applyProtection="1"/>
    <xf numFmtId="0" fontId="10" fillId="0" borderId="0" xfId="775" applyNumberFormat="1" applyFont="1" applyFill="1" applyAlignment="1" applyProtection="1">
      <alignment horizontal="right"/>
    </xf>
    <xf numFmtId="173" fontId="10" fillId="0" borderId="0" xfId="275" applyNumberFormat="1" applyFont="1" applyFill="1" applyBorder="1" applyAlignment="1" applyProtection="1"/>
    <xf numFmtId="0" fontId="8" fillId="0" borderId="35" xfId="881" applyNumberFormat="1" applyFont="1" applyFill="1" applyBorder="1" applyAlignment="1" applyProtection="1">
      <alignment horizontal="center"/>
    </xf>
    <xf numFmtId="0" fontId="10" fillId="0" borderId="36" xfId="881" applyNumberFormat="1" applyFont="1" applyFill="1" applyBorder="1" applyAlignment="1" applyProtection="1">
      <alignment horizontal="center"/>
    </xf>
    <xf numFmtId="0" fontId="11" fillId="0" borderId="36" xfId="775" applyNumberFormat="1" applyFont="1" applyFill="1" applyBorder="1" applyProtection="1"/>
    <xf numFmtId="0" fontId="11" fillId="0" borderId="36" xfId="881" applyNumberFormat="1" applyFont="1" applyFill="1" applyBorder="1" applyProtection="1"/>
    <xf numFmtId="172" fontId="11" fillId="0" borderId="36" xfId="881" applyFont="1" applyFill="1" applyBorder="1" applyAlignment="1" applyProtection="1"/>
    <xf numFmtId="1" fontId="11" fillId="0" borderId="36" xfId="881" applyNumberFormat="1" applyFont="1" applyFill="1" applyBorder="1" applyAlignment="1" applyProtection="1">
      <alignment horizontal="center"/>
    </xf>
    <xf numFmtId="173" fontId="11" fillId="0" borderId="36" xfId="275" applyNumberFormat="1" applyFont="1" applyFill="1" applyBorder="1" applyAlignment="1" applyProtection="1"/>
    <xf numFmtId="0" fontId="11" fillId="0" borderId="0" xfId="881" applyNumberFormat="1" applyFont="1" applyFill="1" applyBorder="1" applyProtection="1"/>
    <xf numFmtId="172" fontId="11" fillId="0" borderId="0" xfId="881" applyFont="1" applyFill="1" applyBorder="1" applyAlignment="1" applyProtection="1"/>
    <xf numFmtId="172" fontId="10" fillId="0" borderId="0" xfId="881" applyFont="1" applyFill="1" applyAlignment="1" applyProtection="1">
      <alignment horizontal="center"/>
    </xf>
    <xf numFmtId="0" fontId="11" fillId="0" borderId="0" xfId="775" applyNumberFormat="1" applyFont="1" applyFill="1" applyBorder="1" applyProtection="1"/>
    <xf numFmtId="1" fontId="11" fillId="0" borderId="0" xfId="881" applyNumberFormat="1" applyFont="1" applyFill="1" applyBorder="1" applyAlignment="1" applyProtection="1">
      <alignment horizontal="center"/>
    </xf>
    <xf numFmtId="173" fontId="11" fillId="0" borderId="0" xfId="275" applyNumberFormat="1" applyFont="1" applyFill="1" applyBorder="1" applyAlignment="1" applyProtection="1"/>
    <xf numFmtId="0" fontId="11" fillId="0" borderId="0" xfId="775" applyNumberFormat="1" applyFont="1" applyFill="1" applyProtection="1"/>
    <xf numFmtId="43" fontId="11" fillId="0" borderId="0" xfId="275" applyNumberFormat="1" applyFont="1" applyFill="1" applyBorder="1" applyAlignment="1" applyProtection="1"/>
    <xf numFmtId="0" fontId="8" fillId="0" borderId="0" xfId="881" applyNumberFormat="1" applyFont="1" applyFill="1" applyProtection="1"/>
    <xf numFmtId="174" fontId="10" fillId="0" borderId="0" xfId="551" applyNumberFormat="1" applyFont="1" applyFill="1" applyProtection="1"/>
    <xf numFmtId="174" fontId="10" fillId="0" borderId="0" xfId="881" applyNumberFormat="1" applyFont="1" applyFill="1" applyProtection="1"/>
    <xf numFmtId="43" fontId="10" fillId="0" borderId="0" xfId="881" applyNumberFormat="1" applyFont="1" applyFill="1" applyProtection="1"/>
    <xf numFmtId="3" fontId="10" fillId="0" borderId="0" xfId="0" applyNumberFormat="1" applyFont="1" applyFill="1" applyAlignment="1" applyProtection="1">
      <alignment horizontal="center"/>
    </xf>
    <xf numFmtId="170" fontId="22" fillId="27" borderId="0" xfId="881" applyNumberFormat="1" applyFont="1" applyFill="1" applyBorder="1" applyAlignment="1" applyProtection="1"/>
    <xf numFmtId="172" fontId="10" fillId="0" borderId="0" xfId="881" applyFont="1" applyBorder="1" applyAlignment="1" applyProtection="1"/>
    <xf numFmtId="170" fontId="10" fillId="0" borderId="11" xfId="881" applyNumberFormat="1" applyFont="1" applyFill="1" applyBorder="1" applyAlignment="1" applyProtection="1"/>
    <xf numFmtId="170" fontId="22" fillId="27" borderId="11" xfId="881" applyNumberFormat="1" applyFont="1" applyFill="1" applyBorder="1" applyAlignment="1" applyProtection="1"/>
    <xf numFmtId="0" fontId="10" fillId="0" borderId="0" xfId="775" quotePrefix="1" applyNumberFormat="1" applyFont="1" applyFill="1" applyAlignment="1" applyProtection="1">
      <alignment horizontal="left"/>
    </xf>
    <xf numFmtId="173" fontId="80" fillId="0" borderId="0" xfId="275" applyNumberFormat="1" applyFont="1" applyFill="1" applyAlignment="1" applyProtection="1"/>
    <xf numFmtId="0" fontId="10" fillId="0" borderId="35" xfId="775" quotePrefix="1" applyNumberFormat="1" applyFont="1" applyFill="1" applyBorder="1" applyAlignment="1" applyProtection="1">
      <alignment horizontal="left"/>
    </xf>
    <xf numFmtId="0" fontId="10" fillId="0" borderId="36" xfId="775" applyNumberFormat="1" applyFont="1" applyFill="1" applyBorder="1" applyProtection="1"/>
    <xf numFmtId="1" fontId="10" fillId="0" borderId="36" xfId="881" applyNumberFormat="1" applyFont="1" applyFill="1" applyBorder="1" applyAlignment="1" applyProtection="1">
      <alignment horizontal="center"/>
    </xf>
    <xf numFmtId="170" fontId="10" fillId="0" borderId="36" xfId="881" applyNumberFormat="1" applyFont="1" applyFill="1" applyBorder="1" applyAlignment="1" applyProtection="1"/>
    <xf numFmtId="0" fontId="10" fillId="0" borderId="36" xfId="881" applyNumberFormat="1" applyFont="1" applyFill="1" applyBorder="1" applyProtection="1"/>
    <xf numFmtId="0" fontId="15" fillId="0" borderId="36" xfId="775" applyFont="1" applyFill="1" applyBorder="1" applyProtection="1"/>
    <xf numFmtId="170" fontId="10" fillId="0" borderId="37" xfId="881" applyNumberFormat="1" applyFont="1" applyFill="1" applyBorder="1" applyAlignment="1" applyProtection="1"/>
    <xf numFmtId="0" fontId="80" fillId="0" borderId="0" xfId="881" applyNumberFormat="1" applyFont="1" applyFill="1" applyProtection="1"/>
    <xf numFmtId="43" fontId="10" fillId="0" borderId="0" xfId="275" applyFont="1" applyFill="1" applyAlignment="1" applyProtection="1"/>
    <xf numFmtId="0" fontId="10" fillId="0" borderId="0" xfId="775" applyFont="1" applyFill="1" applyProtection="1"/>
    <xf numFmtId="0" fontId="80" fillId="0" borderId="0" xfId="775" applyNumberFormat="1" applyFont="1" applyFill="1" applyProtection="1"/>
    <xf numFmtId="172" fontId="80" fillId="0" borderId="0" xfId="881" applyFont="1" applyFill="1" applyAlignment="1" applyProtection="1"/>
    <xf numFmtId="0" fontId="8" fillId="0" borderId="0" xfId="775" applyFont="1" applyFill="1" applyProtection="1"/>
    <xf numFmtId="1" fontId="159" fillId="0" borderId="0" xfId="775" applyNumberFormat="1" applyFont="1" applyFill="1" applyAlignment="1" applyProtection="1"/>
    <xf numFmtId="0" fontId="0" fillId="0" borderId="0" xfId="0" applyProtection="1"/>
    <xf numFmtId="0" fontId="10" fillId="0" borderId="0" xfId="0" applyNumberFormat="1" applyFont="1" applyAlignment="1" applyProtection="1">
      <alignment horizontal="center"/>
    </xf>
    <xf numFmtId="3" fontId="10" fillId="0" borderId="0" xfId="0" quotePrefix="1" applyNumberFormat="1" applyFont="1" applyFill="1" applyAlignment="1" applyProtection="1">
      <alignment horizontal="center"/>
    </xf>
    <xf numFmtId="49" fontId="137" fillId="0" borderId="0" xfId="881" applyNumberFormat="1" applyFont="1" applyFill="1" applyAlignment="1" applyProtection="1">
      <alignment horizontal="center"/>
    </xf>
    <xf numFmtId="3" fontId="9" fillId="0" borderId="0" xfId="0" applyNumberFormat="1" applyFont="1" applyAlignment="1" applyProtection="1">
      <alignment horizontal="center"/>
    </xf>
    <xf numFmtId="3" fontId="9"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205" fillId="0" borderId="0" xfId="0" applyFont="1" applyAlignment="1" applyProtection="1">
      <alignment horizontal="center" vertical="center"/>
    </xf>
    <xf numFmtId="173" fontId="0" fillId="0" borderId="0" xfId="0" applyNumberFormat="1" applyAlignment="1" applyProtection="1">
      <alignment vertical="center"/>
    </xf>
    <xf numFmtId="0" fontId="0" fillId="0" borderId="0" xfId="0" applyAlignment="1" applyProtection="1">
      <alignment vertical="center"/>
    </xf>
    <xf numFmtId="0" fontId="0" fillId="0" borderId="43" xfId="0" applyBorder="1" applyAlignment="1" applyProtection="1">
      <alignment horizontal="center"/>
    </xf>
    <xf numFmtId="0" fontId="0" fillId="0" borderId="17" xfId="0" applyBorder="1" applyAlignment="1" applyProtection="1">
      <alignment horizontal="center"/>
    </xf>
    <xf numFmtId="0" fontId="12" fillId="0" borderId="40" xfId="0" applyFont="1" applyBorder="1" applyAlignment="1" applyProtection="1">
      <alignment horizontal="centerContinuous"/>
    </xf>
    <xf numFmtId="0" fontId="20" fillId="0" borderId="40" xfId="0" applyFont="1" applyBorder="1" applyAlignment="1" applyProtection="1">
      <alignment horizontal="centerContinuous"/>
    </xf>
    <xf numFmtId="0" fontId="20" fillId="0" borderId="17" xfId="0" applyFont="1" applyBorder="1" applyAlignment="1" applyProtection="1">
      <alignment horizontal="centerContinuous"/>
    </xf>
    <xf numFmtId="0" fontId="138" fillId="0" borderId="17" xfId="0" applyFont="1" applyFill="1" applyBorder="1" applyProtection="1"/>
    <xf numFmtId="0" fontId="0" fillId="0" borderId="17" xfId="0" applyBorder="1" applyProtection="1"/>
    <xf numFmtId="0" fontId="0" fillId="0" borderId="21" xfId="0" applyBorder="1" applyAlignment="1" applyProtection="1">
      <alignment horizontal="center"/>
    </xf>
    <xf numFmtId="0" fontId="0" fillId="0" borderId="0" xfId="0" applyAlignment="1" applyProtection="1">
      <alignment horizontal="center"/>
    </xf>
    <xf numFmtId="0" fontId="20" fillId="0" borderId="35" xfId="0" quotePrefix="1" applyFont="1" applyBorder="1" applyAlignment="1" applyProtection="1">
      <alignment horizontal="center" wrapText="1"/>
    </xf>
    <xf numFmtId="0" fontId="20" fillId="0" borderId="36" xfId="0" quotePrefix="1" applyFont="1" applyBorder="1" applyAlignment="1" applyProtection="1">
      <alignment horizontal="center" wrapText="1"/>
    </xf>
    <xf numFmtId="0" fontId="0" fillId="0" borderId="36" xfId="0" applyBorder="1" applyProtection="1"/>
    <xf numFmtId="0" fontId="20" fillId="0" borderId="37" xfId="0" applyFont="1" applyFill="1" applyBorder="1" applyAlignment="1" applyProtection="1">
      <alignment horizontal="center" wrapText="1"/>
    </xf>
    <xf numFmtId="0" fontId="0" fillId="0" borderId="54" xfId="0" applyBorder="1" applyAlignment="1" applyProtection="1">
      <alignment wrapText="1"/>
    </xf>
    <xf numFmtId="0" fontId="0" fillId="0" borderId="19" xfId="0" applyBorder="1" applyProtection="1"/>
    <xf numFmtId="0" fontId="0" fillId="0" borderId="0" xfId="0" applyBorder="1" applyAlignment="1" applyProtection="1">
      <alignment horizontal="center"/>
    </xf>
    <xf numFmtId="0" fontId="0" fillId="0" borderId="0" xfId="0" applyBorder="1" applyProtection="1"/>
    <xf numFmtId="0" fontId="12" fillId="0" borderId="0" xfId="0" applyFont="1" applyBorder="1" applyProtection="1"/>
    <xf numFmtId="0" fontId="12" fillId="0" borderId="20" xfId="0" applyFont="1" applyBorder="1" applyProtection="1"/>
    <xf numFmtId="0" fontId="0" fillId="0" borderId="28" xfId="0" applyBorder="1" applyProtection="1"/>
    <xf numFmtId="0" fontId="0" fillId="0" borderId="0" xfId="0" quotePrefix="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73" fontId="7" fillId="0" borderId="0" xfId="198" applyNumberFormat="1" applyFont="1" applyFill="1" applyAlignment="1" applyProtection="1">
      <alignment vertical="center"/>
    </xf>
    <xf numFmtId="173" fontId="7" fillId="0" borderId="0" xfId="198" applyNumberFormat="1" applyFill="1" applyAlignment="1" applyProtection="1">
      <alignment vertical="center"/>
    </xf>
    <xf numFmtId="0" fontId="0" fillId="0" borderId="0" xfId="0" applyFill="1" applyAlignment="1" applyProtection="1">
      <alignment vertical="center"/>
    </xf>
    <xf numFmtId="173" fontId="87" fillId="27" borderId="0" xfId="198" applyNumberFormat="1" applyFont="1" applyFill="1" applyAlignment="1" applyProtection="1">
      <alignment vertical="center"/>
    </xf>
    <xf numFmtId="173" fontId="7" fillId="0" borderId="0" xfId="198" applyNumberFormat="1" applyAlignment="1" applyProtection="1">
      <alignment vertical="center"/>
    </xf>
    <xf numFmtId="173" fontId="0" fillId="0" borderId="28" xfId="0" applyNumberFormat="1" applyBorder="1" applyProtection="1"/>
    <xf numFmtId="173" fontId="7" fillId="0" borderId="0" xfId="198" applyNumberFormat="1" applyFont="1" applyFill="1" applyBorder="1" applyAlignment="1" applyProtection="1">
      <alignment vertical="center"/>
    </xf>
    <xf numFmtId="173" fontId="7"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7" fillId="27" borderId="0" xfId="198" applyNumberFormat="1" applyFont="1" applyFill="1" applyBorder="1" applyAlignment="1" applyProtection="1">
      <alignment vertical="center"/>
    </xf>
    <xf numFmtId="173" fontId="7" fillId="0" borderId="0" xfId="198" applyNumberFormat="1" applyBorder="1" applyAlignment="1" applyProtection="1">
      <alignment vertical="center"/>
    </xf>
    <xf numFmtId="0" fontId="7" fillId="0" borderId="0" xfId="0" quotePrefix="1" applyFont="1" applyAlignment="1" applyProtection="1">
      <alignment horizontal="center" vertical="center"/>
    </xf>
    <xf numFmtId="173" fontId="205" fillId="0" borderId="0" xfId="1537" applyNumberFormat="1" applyFont="1" applyFill="1" applyBorder="1" applyAlignment="1" applyProtection="1">
      <alignment vertical="center"/>
    </xf>
    <xf numFmtId="173" fontId="205" fillId="0" borderId="0" xfId="1537" applyNumberFormat="1" applyFill="1" applyBorder="1" applyAlignment="1" applyProtection="1">
      <alignment vertical="center"/>
    </xf>
    <xf numFmtId="0" fontId="7" fillId="0" borderId="19" xfId="0" quotePrefix="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wrapText="1"/>
    </xf>
    <xf numFmtId="0" fontId="7" fillId="0" borderId="0" xfId="0" applyFont="1" applyFill="1" applyBorder="1" applyAlignment="1" applyProtection="1">
      <alignment horizontal="center" vertical="center"/>
    </xf>
    <xf numFmtId="173" fontId="205" fillId="0" borderId="0" xfId="1537" applyNumberFormat="1" applyBorder="1" applyAlignment="1" applyProtection="1">
      <alignment vertical="center"/>
    </xf>
    <xf numFmtId="173" fontId="205" fillId="0" borderId="0" xfId="1537" applyNumberFormat="1" applyFont="1" applyBorder="1" applyAlignment="1" applyProtection="1">
      <alignment vertical="center"/>
    </xf>
    <xf numFmtId="173" fontId="12" fillId="0" borderId="20" xfId="1537" applyNumberFormat="1" applyFont="1" applyBorder="1" applyAlignment="1" applyProtection="1">
      <alignment vertical="center"/>
    </xf>
    <xf numFmtId="173" fontId="0" fillId="0" borderId="28" xfId="0" applyNumberFormat="1"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173" fontId="205" fillId="0" borderId="11" xfId="1537" applyNumberFormat="1" applyBorder="1" applyAlignment="1" applyProtection="1">
      <alignment vertical="center"/>
    </xf>
    <xf numFmtId="173" fontId="205" fillId="0" borderId="11" xfId="1537" applyNumberFormat="1" applyFill="1" applyBorder="1" applyAlignment="1" applyProtection="1">
      <alignment vertical="center"/>
    </xf>
    <xf numFmtId="173" fontId="12" fillId="0" borderId="25" xfId="1537" applyNumberFormat="1" applyFont="1" applyBorder="1" applyAlignment="1" applyProtection="1">
      <alignment vertical="center"/>
    </xf>
    <xf numFmtId="0" fontId="0" fillId="0" borderId="44" xfId="0" applyBorder="1" applyProtection="1"/>
    <xf numFmtId="0" fontId="0" fillId="0" borderId="34" xfId="0" applyBorder="1" applyAlignment="1" applyProtection="1">
      <alignment vertical="center"/>
    </xf>
    <xf numFmtId="0" fontId="0" fillId="0" borderId="6" xfId="0" applyBorder="1" applyAlignment="1" applyProtection="1">
      <alignment vertical="center"/>
    </xf>
    <xf numFmtId="0" fontId="0" fillId="0" borderId="6" xfId="0" quotePrefix="1" applyBorder="1" applyAlignment="1" applyProtection="1">
      <alignment horizontal="center" vertical="center"/>
    </xf>
    <xf numFmtId="0" fontId="0" fillId="0" borderId="6" xfId="0" applyBorder="1" applyAlignment="1" applyProtection="1">
      <alignment horizontal="center" vertical="center"/>
    </xf>
    <xf numFmtId="173" fontId="205" fillId="0" borderId="6" xfId="1537" applyNumberFormat="1" applyBorder="1" applyAlignment="1" applyProtection="1">
      <alignment vertical="center"/>
    </xf>
    <xf numFmtId="173" fontId="205" fillId="0" borderId="6" xfId="1537" applyNumberFormat="1" applyFill="1" applyBorder="1" applyAlignment="1" applyProtection="1">
      <alignment vertical="center"/>
    </xf>
    <xf numFmtId="173" fontId="87" fillId="60" borderId="6" xfId="1537" applyNumberFormat="1" applyFont="1" applyFill="1" applyBorder="1" applyAlignment="1" applyProtection="1">
      <alignment vertical="center"/>
    </xf>
    <xf numFmtId="174" fontId="12" fillId="0" borderId="27" xfId="1536" applyNumberFormat="1" applyFont="1" applyBorder="1" applyAlignment="1" applyProtection="1">
      <alignment vertical="center"/>
    </xf>
    <xf numFmtId="173" fontId="12" fillId="0" borderId="28" xfId="0" applyNumberFormat="1" applyFont="1" applyBorder="1" applyProtection="1"/>
    <xf numFmtId="0" fontId="87" fillId="0" borderId="0" xfId="0" quotePrefix="1" applyFont="1" applyAlignment="1" applyProtection="1">
      <alignment horizontal="left"/>
    </xf>
    <xf numFmtId="0" fontId="7" fillId="0" borderId="0" xfId="0" applyFont="1" applyAlignment="1" applyProtection="1">
      <alignment vertical="center"/>
    </xf>
    <xf numFmtId="173" fontId="86" fillId="0" borderId="0" xfId="1537" applyNumberFormat="1" applyFont="1" applyAlignment="1" applyProtection="1">
      <alignment horizontal="center" vertical="center"/>
    </xf>
    <xf numFmtId="173" fontId="205" fillId="0" borderId="0" xfId="1537" applyNumberFormat="1" applyAlignment="1" applyProtection="1">
      <alignment vertical="center"/>
    </xf>
    <xf numFmtId="173" fontId="86"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05"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0" fontId="0" fillId="0" borderId="0" xfId="0" quotePrefix="1" applyAlignment="1" applyProtection="1">
      <alignment horizontal="left" vertical="center"/>
    </xf>
    <xf numFmtId="13" fontId="32" fillId="0" borderId="0" xfId="0" applyNumberFormat="1" applyFont="1" applyFill="1" applyAlignment="1" applyProtection="1">
      <alignment horizontal="center" vertical="center"/>
    </xf>
    <xf numFmtId="43" fontId="205" fillId="0" borderId="0" xfId="1537" applyFill="1" applyAlignment="1" applyProtection="1">
      <alignment vertical="center"/>
    </xf>
    <xf numFmtId="173" fontId="87" fillId="0" borderId="0" xfId="0" applyNumberFormat="1" applyFont="1" applyFill="1" applyAlignment="1" applyProtection="1">
      <alignment vertical="center"/>
    </xf>
    <xf numFmtId="173" fontId="87" fillId="0" borderId="0" xfId="1537" applyNumberFormat="1" applyFont="1" applyFill="1" applyAlignment="1" applyProtection="1">
      <alignment vertical="center"/>
    </xf>
    <xf numFmtId="197" fontId="205" fillId="0" borderId="0" xfId="1537" applyNumberFormat="1" applyAlignment="1" applyProtection="1">
      <alignment vertical="center"/>
    </xf>
    <xf numFmtId="173" fontId="205" fillId="0" borderId="0" xfId="1537" applyNumberFormat="1" applyProtection="1"/>
    <xf numFmtId="173" fontId="205" fillId="0" borderId="0" xfId="1537" applyNumberFormat="1" applyFill="1" applyProtection="1"/>
    <xf numFmtId="43" fontId="205" fillId="0" borderId="0" xfId="1537" applyProtection="1"/>
    <xf numFmtId="0" fontId="0" fillId="0" borderId="19" xfId="0" quotePrefix="1" applyBorder="1" applyAlignment="1" applyProtection="1">
      <alignment horizontal="center" vertical="center"/>
    </xf>
    <xf numFmtId="0" fontId="7" fillId="0" borderId="0" xfId="0" applyFont="1" applyFill="1" applyBorder="1" applyAlignment="1" applyProtection="1">
      <alignment vertical="center" wrapText="1"/>
    </xf>
    <xf numFmtId="173" fontId="12" fillId="0" borderId="20" xfId="1537" applyNumberFormat="1" applyFont="1" applyBorder="1" applyAlignment="1" applyProtection="1">
      <alignment horizontal="center" vertical="center"/>
    </xf>
    <xf numFmtId="0" fontId="0" fillId="0" borderId="0" xfId="0" applyAlignment="1" applyProtection="1"/>
    <xf numFmtId="0" fontId="205" fillId="0" borderId="0" xfId="0" applyFont="1" applyFill="1" applyBorder="1" applyAlignment="1" applyProtection="1">
      <alignment vertical="center" wrapText="1"/>
    </xf>
    <xf numFmtId="173" fontId="87" fillId="0" borderId="0" xfId="1537" applyNumberFormat="1" applyFont="1" applyFill="1" applyBorder="1" applyAlignment="1" applyProtection="1">
      <alignment vertical="center"/>
    </xf>
    <xf numFmtId="1" fontId="15" fillId="0" borderId="0" xfId="775" applyNumberFormat="1" applyFill="1" applyProtection="1"/>
    <xf numFmtId="1" fontId="15" fillId="0" borderId="0" xfId="775" applyNumberFormat="1" applyFill="1" applyAlignment="1" applyProtection="1">
      <alignment horizontal="center"/>
    </xf>
    <xf numFmtId="1" fontId="12" fillId="0" borderId="0" xfId="775" applyNumberFormat="1" applyFont="1" applyFill="1" applyAlignment="1" applyProtection="1">
      <alignment horizontal="centerContinuous"/>
    </xf>
    <xf numFmtId="1" fontId="12" fillId="0" borderId="0" xfId="775" quotePrefix="1" applyNumberFormat="1" applyFont="1" applyFill="1" applyAlignment="1" applyProtection="1">
      <alignment horizontal="centerContinuous"/>
    </xf>
    <xf numFmtId="1" fontId="15" fillId="0" borderId="0" xfId="775" applyNumberFormat="1" applyFont="1" applyFill="1" applyAlignment="1" applyProtection="1">
      <alignment horizontal="centerContinuous"/>
    </xf>
    <xf numFmtId="1" fontId="9" fillId="0" borderId="0" xfId="775" applyNumberFormat="1" applyFont="1" applyFill="1" applyAlignment="1" applyProtection="1">
      <alignment horizontal="centerContinuous"/>
    </xf>
    <xf numFmtId="1" fontId="23" fillId="0" borderId="0" xfId="775" applyNumberFormat="1" applyFont="1" applyFill="1" applyProtection="1"/>
    <xf numFmtId="1" fontId="24" fillId="0" borderId="0" xfId="775" applyNumberFormat="1" applyFont="1" applyFill="1" applyAlignment="1" applyProtection="1">
      <alignment horizontal="centerContinuous"/>
    </xf>
    <xf numFmtId="1" fontId="23" fillId="0" borderId="0" xfId="775" applyNumberFormat="1" applyFont="1" applyFill="1" applyAlignment="1" applyProtection="1">
      <alignment horizontal="left"/>
    </xf>
    <xf numFmtId="1" fontId="24" fillId="0" borderId="0" xfId="853" applyNumberFormat="1" applyFont="1" applyFill="1" applyAlignment="1" applyProtection="1">
      <alignment horizontal="center" wrapText="1"/>
    </xf>
    <xf numFmtId="1" fontId="24" fillId="0" borderId="0" xfId="775" applyNumberFormat="1" applyFont="1" applyFill="1" applyAlignment="1" applyProtection="1">
      <alignment horizontal="right"/>
    </xf>
    <xf numFmtId="194" fontId="24" fillId="0" borderId="0" xfId="853" applyNumberFormat="1" applyFont="1" applyFill="1" applyAlignment="1" applyProtection="1">
      <alignment horizontal="center" wrapText="1"/>
    </xf>
    <xf numFmtId="1" fontId="24" fillId="0" borderId="0" xfId="775" applyNumberFormat="1" applyFont="1" applyFill="1" applyAlignment="1" applyProtection="1">
      <alignment horizontal="center"/>
    </xf>
    <xf numFmtId="1" fontId="23" fillId="0" borderId="0" xfId="775" applyNumberFormat="1" applyFont="1" applyFill="1" applyAlignment="1" applyProtection="1">
      <alignment horizontal="center"/>
    </xf>
    <xf numFmtId="1" fontId="24" fillId="0" borderId="0" xfId="853" quotePrefix="1" applyNumberFormat="1" applyFont="1" applyFill="1" applyAlignment="1" applyProtection="1">
      <alignment horizontal="center"/>
    </xf>
    <xf numFmtId="1" fontId="24" fillId="0" borderId="6" xfId="775" applyNumberFormat="1" applyFont="1" applyFill="1" applyBorder="1" applyProtection="1"/>
    <xf numFmtId="1" fontId="23" fillId="0" borderId="6" xfId="775" applyNumberFormat="1" applyFont="1" applyFill="1" applyBorder="1" applyProtection="1"/>
    <xf numFmtId="1" fontId="117" fillId="0" borderId="0" xfId="775" applyNumberFormat="1" applyFont="1" applyFill="1" applyProtection="1"/>
    <xf numFmtId="173" fontId="24" fillId="27" borderId="0" xfId="1638" applyNumberFormat="1" applyFont="1" applyFill="1" applyAlignment="1" applyProtection="1">
      <alignment horizontal="left"/>
    </xf>
    <xf numFmtId="173" fontId="23" fillId="27" borderId="0" xfId="312" applyNumberFormat="1" applyFont="1" applyFill="1" applyAlignment="1" applyProtection="1">
      <alignment horizontal="left"/>
    </xf>
    <xf numFmtId="176" fontId="23" fillId="0" borderId="0" xfId="311" applyNumberFormat="1" applyFont="1" applyFill="1" applyProtection="1"/>
    <xf numFmtId="187" fontId="15" fillId="0" borderId="0" xfId="929" applyNumberFormat="1" applyFont="1" applyFill="1" applyAlignment="1" applyProtection="1">
      <alignment horizontal="center"/>
    </xf>
    <xf numFmtId="1" fontId="24" fillId="0" borderId="0" xfId="775" applyNumberFormat="1" applyFont="1" applyFill="1" applyProtection="1"/>
    <xf numFmtId="176" fontId="23" fillId="0" borderId="0" xfId="311" applyNumberFormat="1" applyFont="1" applyFill="1" applyBorder="1" applyProtection="1"/>
    <xf numFmtId="1" fontId="24" fillId="0" borderId="2" xfId="775" applyNumberFormat="1" applyFont="1" applyFill="1" applyBorder="1" applyAlignment="1" applyProtection="1">
      <alignment horizontal="right"/>
    </xf>
    <xf numFmtId="193" fontId="23" fillId="0" borderId="0" xfId="775" applyNumberFormat="1" applyFont="1" applyFill="1" applyProtection="1"/>
    <xf numFmtId="1" fontId="15" fillId="0" borderId="0" xfId="775" applyNumberFormat="1" applyFill="1" applyBorder="1" applyProtection="1"/>
    <xf numFmtId="1" fontId="23" fillId="0" borderId="0" xfId="275" applyNumberFormat="1" applyFont="1" applyFill="1" applyProtection="1"/>
    <xf numFmtId="1" fontId="23" fillId="0" borderId="0" xfId="775" applyNumberFormat="1" applyFont="1" applyFill="1" applyBorder="1" applyProtection="1"/>
    <xf numFmtId="1" fontId="15" fillId="0" borderId="0" xfId="775" applyNumberFormat="1" applyFill="1" applyBorder="1" applyAlignment="1" applyProtection="1">
      <alignment horizontal="center"/>
    </xf>
    <xf numFmtId="1" fontId="24" fillId="0" borderId="11" xfId="775" applyNumberFormat="1" applyFont="1" applyFill="1" applyBorder="1" applyAlignment="1" applyProtection="1">
      <alignment horizontal="centerContinuous"/>
    </xf>
    <xf numFmtId="1" fontId="23" fillId="0" borderId="11" xfId="775" applyNumberFormat="1" applyFont="1" applyFill="1" applyBorder="1" applyAlignment="1" applyProtection="1">
      <alignment horizontal="centerContinuous"/>
    </xf>
    <xf numFmtId="3" fontId="23" fillId="27" borderId="0" xfId="0" applyNumberFormat="1" applyFont="1" applyFill="1" applyAlignment="1" applyProtection="1">
      <alignment wrapText="1"/>
    </xf>
    <xf numFmtId="1" fontId="24" fillId="0" borderId="15" xfId="275" applyNumberFormat="1" applyFont="1" applyFill="1" applyBorder="1" applyProtection="1"/>
    <xf numFmtId="1" fontId="15" fillId="0" borderId="0" xfId="775" applyNumberFormat="1" applyFill="1" applyAlignment="1" applyProtection="1">
      <alignment horizontal="right"/>
    </xf>
    <xf numFmtId="1" fontId="15" fillId="0" borderId="0" xfId="775" applyNumberFormat="1" applyFont="1" applyFill="1" applyProtection="1"/>
    <xf numFmtId="1" fontId="12" fillId="0" borderId="0" xfId="775" applyNumberFormat="1" applyFont="1" applyFill="1" applyProtection="1"/>
    <xf numFmtId="1" fontId="23" fillId="0" borderId="0" xfId="775" quotePrefix="1" applyNumberFormat="1" applyFont="1" applyFill="1" applyAlignment="1" applyProtection="1">
      <alignment horizontal="left"/>
    </xf>
    <xf numFmtId="1" fontId="12" fillId="0" borderId="6" xfId="775" applyNumberFormat="1" applyFont="1" applyFill="1" applyBorder="1" applyProtection="1"/>
    <xf numFmtId="1" fontId="15" fillId="0" borderId="6" xfId="775" applyNumberFormat="1" applyFill="1" applyBorder="1" applyProtection="1"/>
    <xf numFmtId="1" fontId="23" fillId="0" borderId="15" xfId="775" applyNumberFormat="1" applyFont="1" applyFill="1" applyBorder="1" applyProtection="1"/>
    <xf numFmtId="1" fontId="24" fillId="0" borderId="0" xfId="775" applyNumberFormat="1" applyFont="1" applyFill="1" applyAlignment="1" applyProtection="1">
      <alignment horizontal="left"/>
    </xf>
    <xf numFmtId="1" fontId="24" fillId="0" borderId="0" xfId="775" applyNumberFormat="1" applyFont="1" applyFill="1" applyBorder="1" applyProtection="1"/>
    <xf numFmtId="0" fontId="23" fillId="0" borderId="0" xfId="0" quotePrefix="1" applyFont="1" applyFill="1" applyAlignment="1" applyProtection="1">
      <alignment horizontal="left"/>
    </xf>
    <xf numFmtId="0" fontId="7" fillId="0" borderId="0" xfId="0" applyFont="1" applyFill="1" applyBorder="1" applyProtection="1"/>
    <xf numFmtId="0" fontId="11" fillId="0" borderId="0" xfId="881" applyNumberFormat="1" applyFont="1" applyFill="1" applyBorder="1" applyAlignment="1" applyProtection="1">
      <alignment horizontal="left"/>
    </xf>
    <xf numFmtId="14" fontId="11" fillId="0" borderId="0" xfId="881" applyNumberFormat="1" applyFont="1" applyFill="1" applyBorder="1" applyAlignment="1" applyProtection="1"/>
    <xf numFmtId="172" fontId="11" fillId="0" borderId="0" xfId="881" applyFont="1" applyFill="1" applyAlignment="1" applyProtection="1"/>
    <xf numFmtId="0" fontId="10" fillId="0" borderId="0" xfId="198" applyNumberFormat="1" applyFont="1" applyFill="1" applyAlignment="1" applyProtection="1"/>
    <xf numFmtId="0" fontId="10" fillId="0" borderId="0" xfId="0" applyFont="1" applyFill="1" applyAlignment="1" applyProtection="1"/>
    <xf numFmtId="0" fontId="7" fillId="0" borderId="0" xfId="0" applyFont="1" applyFill="1" applyProtection="1"/>
    <xf numFmtId="3" fontId="11" fillId="0" borderId="0" xfId="0" applyNumberFormat="1" applyFont="1" applyFill="1" applyAlignment="1" applyProtection="1">
      <alignment horizontal="center"/>
    </xf>
    <xf numFmtId="39" fontId="10" fillId="0" borderId="0" xfId="198" applyNumberFormat="1" applyFont="1" applyFill="1" applyAlignment="1" applyProtection="1">
      <alignment horizontal="center"/>
    </xf>
    <xf numFmtId="0" fontId="10" fillId="0" borderId="6" xfId="881" applyNumberFormat="1" applyFont="1" applyFill="1" applyBorder="1" applyAlignment="1" applyProtection="1">
      <alignment horizontal="center"/>
    </xf>
    <xf numFmtId="0" fontId="10" fillId="0" borderId="0" xfId="0" applyNumberFormat="1" applyFont="1" applyFill="1" applyProtection="1"/>
    <xf numFmtId="3" fontId="10" fillId="0" borderId="0" xfId="881" applyNumberFormat="1" applyFont="1" applyFill="1" applyProtection="1"/>
    <xf numFmtId="0" fontId="10" fillId="0" borderId="0" xfId="881" applyNumberFormat="1" applyFont="1" applyFill="1" applyAlignment="1" applyProtection="1">
      <alignment horizontal="left"/>
    </xf>
    <xf numFmtId="3" fontId="10" fillId="0" borderId="0" xfId="881" applyNumberFormat="1" applyFont="1" applyFill="1" applyAlignment="1" applyProtection="1">
      <alignment horizontal="left"/>
    </xf>
    <xf numFmtId="0" fontId="10" fillId="0" borderId="6" xfId="881" applyNumberFormat="1" applyFont="1" applyFill="1" applyBorder="1" applyAlignment="1" applyProtection="1">
      <alignment horizontal="centerContinuous"/>
    </xf>
    <xf numFmtId="0" fontId="10" fillId="0" borderId="0" xfId="0" applyNumberFormat="1" applyFont="1" applyFill="1" applyAlignment="1" applyProtection="1"/>
    <xf numFmtId="41" fontId="10" fillId="0" borderId="0" xfId="881" applyNumberFormat="1" applyFont="1" applyFill="1" applyBorder="1" applyAlignment="1" applyProtection="1"/>
    <xf numFmtId="3" fontId="10" fillId="0" borderId="0" xfId="881" applyNumberFormat="1" applyFont="1" applyFill="1" applyAlignment="1" applyProtection="1">
      <alignment horizontal="center"/>
    </xf>
    <xf numFmtId="165" fontId="10" fillId="0" borderId="0" xfId="881" applyNumberFormat="1" applyFont="1" applyFill="1" applyAlignment="1" applyProtection="1">
      <alignment horizontal="right"/>
    </xf>
    <xf numFmtId="42" fontId="10" fillId="0" borderId="0" xfId="881" applyNumberFormat="1" applyFont="1" applyFill="1" applyBorder="1" applyAlignment="1" applyProtection="1"/>
    <xf numFmtId="43" fontId="10" fillId="0" borderId="0" xfId="881" applyNumberFormat="1" applyFont="1" applyFill="1" applyBorder="1" applyAlignment="1" applyProtection="1">
      <alignment horizontal="center"/>
    </xf>
    <xf numFmtId="0" fontId="10" fillId="0" borderId="0" xfId="881" applyNumberFormat="1" applyFont="1" applyFill="1" applyBorder="1" applyAlignment="1" applyProtection="1">
      <alignment horizontal="centerContinuous"/>
    </xf>
    <xf numFmtId="0" fontId="10" fillId="0" borderId="0" xfId="0" applyNumberFormat="1" applyFont="1" applyFill="1" applyAlignment="1" applyProtection="1">
      <alignment wrapText="1"/>
    </xf>
    <xf numFmtId="170" fontId="10" fillId="0" borderId="15" xfId="881" applyNumberFormat="1" applyFont="1" applyFill="1" applyBorder="1" applyAlignment="1" applyProtection="1"/>
    <xf numFmtId="42" fontId="10" fillId="0" borderId="0" xfId="881" applyNumberFormat="1" applyFont="1" applyFill="1" applyAlignment="1" applyProtection="1"/>
    <xf numFmtId="172" fontId="67" fillId="0" borderId="0" xfId="881" applyFont="1" applyFill="1" applyAlignment="1" applyProtection="1">
      <alignment horizontal="center" wrapText="1"/>
    </xf>
    <xf numFmtId="41" fontId="10" fillId="0" borderId="0" xfId="881" applyNumberFormat="1" applyFont="1" applyFill="1" applyAlignment="1" applyProtection="1"/>
    <xf numFmtId="43" fontId="10" fillId="0" borderId="0" xfId="198" applyFont="1" applyFill="1" applyProtection="1"/>
    <xf numFmtId="171" fontId="10" fillId="0" borderId="0" xfId="881" applyNumberFormat="1" applyFont="1" applyFill="1" applyProtection="1"/>
    <xf numFmtId="10" fontId="10" fillId="0" borderId="0" xfId="881" applyNumberFormat="1" applyFont="1" applyFill="1" applyAlignment="1" applyProtection="1"/>
    <xf numFmtId="10" fontId="10" fillId="0" borderId="0" xfId="881" applyNumberFormat="1" applyFont="1" applyFill="1" applyProtection="1"/>
    <xf numFmtId="10" fontId="10" fillId="0" borderId="0" xfId="899" applyNumberFormat="1" applyFont="1" applyFill="1" applyAlignment="1" applyProtection="1"/>
    <xf numFmtId="173" fontId="10" fillId="0" borderId="0" xfId="198" applyNumberFormat="1" applyFont="1" applyFill="1" applyAlignment="1" applyProtection="1"/>
    <xf numFmtId="42" fontId="10" fillId="0" borderId="0" xfId="899" applyNumberFormat="1" applyFont="1" applyFill="1" applyAlignment="1" applyProtection="1"/>
    <xf numFmtId="43" fontId="10" fillId="0" borderId="0" xfId="198" applyFont="1" applyFill="1" applyAlignment="1" applyProtection="1"/>
    <xf numFmtId="41" fontId="10" fillId="0" borderId="0" xfId="881" applyNumberFormat="1" applyFont="1" applyFill="1" applyAlignment="1" applyProtection="1">
      <alignment horizontal="center"/>
    </xf>
    <xf numFmtId="49" fontId="10" fillId="0" borderId="0" xfId="881" applyNumberFormat="1" applyFont="1" applyFill="1" applyAlignment="1" applyProtection="1">
      <alignment horizontal="left"/>
    </xf>
    <xf numFmtId="0" fontId="8" fillId="0" borderId="0" xfId="881" applyNumberFormat="1" applyFont="1" applyFill="1" applyAlignment="1" applyProtection="1">
      <alignment horizontal="center" vertical="center"/>
    </xf>
    <xf numFmtId="3" fontId="11" fillId="0" borderId="0" xfId="881" applyNumberFormat="1" applyFont="1" applyFill="1" applyAlignment="1" applyProtection="1">
      <alignment horizontal="center"/>
    </xf>
    <xf numFmtId="0" fontId="13" fillId="0" borderId="0" xfId="881" applyNumberFormat="1" applyFont="1" applyFill="1" applyAlignment="1" applyProtection="1">
      <alignment horizontal="center"/>
    </xf>
    <xf numFmtId="172" fontId="13" fillId="0" borderId="0" xfId="881" applyFont="1" applyFill="1" applyBorder="1" applyAlignment="1" applyProtection="1">
      <alignment horizontal="center"/>
    </xf>
    <xf numFmtId="3" fontId="11" fillId="0" borderId="0" xfId="881" applyNumberFormat="1" applyFont="1" applyFill="1" applyAlignment="1" applyProtection="1"/>
    <xf numFmtId="3" fontId="17" fillId="0" borderId="0" xfId="881" applyNumberFormat="1" applyFont="1" applyFill="1" applyAlignment="1" applyProtection="1">
      <alignment horizontal="center"/>
    </xf>
    <xf numFmtId="3" fontId="10" fillId="0" borderId="0" xfId="881" applyNumberFormat="1" applyFont="1" applyFill="1" applyBorder="1" applyAlignment="1" applyProtection="1">
      <alignment horizontal="center"/>
    </xf>
    <xf numFmtId="0" fontId="10" fillId="0" borderId="0" xfId="881" applyNumberFormat="1" applyFont="1" applyFill="1" applyBorder="1" applyAlignment="1" applyProtection="1"/>
    <xf numFmtId="3" fontId="80" fillId="0" borderId="0" xfId="881" applyNumberFormat="1" applyFont="1" applyFill="1" applyAlignment="1" applyProtection="1"/>
    <xf numFmtId="0" fontId="10" fillId="0" borderId="0" xfId="881" applyNumberFormat="1" applyFont="1" applyFill="1" applyAlignment="1" applyProtection="1">
      <alignment horizontal="center" vertical="center"/>
    </xf>
    <xf numFmtId="0" fontId="10" fillId="0" borderId="0" xfId="881" applyNumberFormat="1" applyFont="1" applyFill="1" applyBorder="1" applyAlignment="1" applyProtection="1">
      <alignment vertical="center"/>
    </xf>
    <xf numFmtId="3" fontId="80" fillId="0" borderId="0" xfId="881" applyNumberFormat="1" applyFont="1" applyFill="1" applyAlignment="1" applyProtection="1">
      <alignment vertical="center" wrapText="1"/>
    </xf>
    <xf numFmtId="3" fontId="10" fillId="0" borderId="0" xfId="881" applyNumberFormat="1" applyFont="1" applyFill="1" applyAlignment="1" applyProtection="1">
      <alignment horizontal="center" vertical="center"/>
    </xf>
    <xf numFmtId="3" fontId="10" fillId="0" borderId="0" xfId="881" applyNumberFormat="1" applyFont="1" applyFill="1" applyAlignment="1" applyProtection="1">
      <alignment vertical="center"/>
    </xf>
    <xf numFmtId="41" fontId="10" fillId="0" borderId="0" xfId="881" applyNumberFormat="1" applyFont="1" applyFill="1" applyAlignment="1" applyProtection="1">
      <alignment vertical="center"/>
    </xf>
    <xf numFmtId="41" fontId="10" fillId="0" borderId="6" xfId="881" applyNumberFormat="1" applyFont="1" applyFill="1" applyBorder="1" applyAlignment="1" applyProtection="1"/>
    <xf numFmtId="0" fontId="7" fillId="0" borderId="0" xfId="0" applyFont="1" applyFill="1" applyAlignment="1" applyProtection="1"/>
    <xf numFmtId="165" fontId="11" fillId="0" borderId="0" xfId="881" applyNumberFormat="1" applyFont="1" applyFill="1" applyAlignment="1" applyProtection="1"/>
    <xf numFmtId="0" fontId="7" fillId="0" borderId="0" xfId="0" applyFont="1" applyFill="1" applyAlignment="1" applyProtection="1">
      <alignment horizontal="center"/>
    </xf>
    <xf numFmtId="44" fontId="10" fillId="0" borderId="0" xfId="881" applyNumberFormat="1" applyFont="1" applyFill="1" applyAlignment="1" applyProtection="1">
      <alignment horizontal="right"/>
    </xf>
    <xf numFmtId="172" fontId="11" fillId="0" borderId="0" xfId="881" applyFont="1" applyFill="1" applyAlignment="1" applyProtection="1">
      <alignment horizontal="right"/>
    </xf>
    <xf numFmtId="181" fontId="11" fillId="0" borderId="0" xfId="198" applyNumberFormat="1" applyFont="1" applyFill="1" applyAlignment="1" applyProtection="1"/>
    <xf numFmtId="183" fontId="10" fillId="0" borderId="0" xfId="881" applyNumberFormat="1" applyFont="1" applyFill="1" applyAlignment="1" applyProtection="1"/>
    <xf numFmtId="182" fontId="10" fillId="0" borderId="0" xfId="881" applyNumberFormat="1" applyFont="1" applyFill="1" applyAlignment="1" applyProtection="1"/>
    <xf numFmtId="3" fontId="10" fillId="0" borderId="0" xfId="881" applyNumberFormat="1" applyFont="1" applyFill="1" applyAlignment="1" applyProtection="1">
      <alignment wrapText="1"/>
    </xf>
    <xf numFmtId="3" fontId="11" fillId="0" borderId="0" xfId="881" applyNumberFormat="1" applyFont="1" applyFill="1" applyAlignment="1" applyProtection="1">
      <alignment horizontal="right" vertical="center"/>
    </xf>
    <xf numFmtId="165" fontId="10" fillId="0" borderId="0" xfId="881" applyNumberFormat="1" applyFont="1" applyFill="1" applyAlignment="1" applyProtection="1"/>
    <xf numFmtId="0" fontId="10" fillId="0" borderId="0" xfId="881" applyNumberFormat="1" applyFont="1" applyFill="1" applyAlignment="1" applyProtection="1">
      <alignment horizontal="left" wrapText="1"/>
    </xf>
    <xf numFmtId="0" fontId="7" fillId="0" borderId="0" xfId="0" applyFont="1" applyFill="1" applyAlignment="1" applyProtection="1">
      <alignment wrapText="1"/>
    </xf>
    <xf numFmtId="0" fontId="7" fillId="0" borderId="0" xfId="0" applyFont="1" applyFill="1" applyAlignment="1" applyProtection="1">
      <alignment horizontal="center" wrapText="1"/>
    </xf>
    <xf numFmtId="164" fontId="10" fillId="0" borderId="0" xfId="881" applyNumberFormat="1" applyFont="1" applyFill="1" applyAlignment="1" applyProtection="1">
      <alignment horizontal="center"/>
    </xf>
    <xf numFmtId="176" fontId="10" fillId="0" borderId="0" xfId="198" applyNumberFormat="1" applyFont="1" applyFill="1" applyAlignment="1" applyProtection="1">
      <alignment horizontal="center"/>
    </xf>
    <xf numFmtId="181" fontId="10" fillId="0" borderId="0" xfId="198" applyNumberFormat="1" applyFont="1" applyFill="1" applyAlignment="1" applyProtection="1"/>
    <xf numFmtId="41" fontId="10" fillId="0" borderId="0" xfId="881" applyNumberFormat="1" applyFont="1" applyFill="1" applyAlignment="1" applyProtection="1">
      <alignment horizontal="center" vertical="center"/>
    </xf>
    <xf numFmtId="41" fontId="10" fillId="0" borderId="29" xfId="881" applyNumberFormat="1" applyFont="1" applyFill="1" applyBorder="1" applyAlignment="1" applyProtection="1"/>
    <xf numFmtId="3" fontId="13" fillId="0" borderId="0" xfId="881" applyNumberFormat="1" applyFont="1" applyFill="1" applyAlignment="1" applyProtection="1">
      <alignment horizontal="center"/>
    </xf>
    <xf numFmtId="172" fontId="8" fillId="0" borderId="0" xfId="881" applyFont="1" applyFill="1" applyAlignment="1" applyProtection="1">
      <alignment horizontal="center"/>
    </xf>
    <xf numFmtId="3" fontId="13" fillId="0" borderId="0" xfId="881" applyNumberFormat="1" applyFont="1" applyFill="1" applyAlignment="1" applyProtection="1"/>
    <xf numFmtId="41" fontId="10" fillId="27" borderId="0" xfId="879" applyNumberFormat="1" applyFont="1" applyFill="1" applyProtection="1"/>
    <xf numFmtId="41" fontId="10" fillId="0" borderId="0" xfId="879" applyNumberFormat="1" applyFont="1" applyFill="1" applyProtection="1"/>
    <xf numFmtId="5" fontId="10" fillId="0" borderId="0" xfId="881" applyNumberFormat="1" applyFont="1" applyFill="1" applyBorder="1" applyAlignment="1" applyProtection="1"/>
    <xf numFmtId="41" fontId="10" fillId="0" borderId="17" xfId="881" applyNumberFormat="1" applyFont="1" applyFill="1" applyBorder="1" applyAlignment="1" applyProtection="1"/>
    <xf numFmtId="43" fontId="7" fillId="0" borderId="0" xfId="198" applyNumberFormat="1" applyFont="1" applyFill="1" applyAlignment="1" applyProtection="1"/>
    <xf numFmtId="3" fontId="10" fillId="0" borderId="0" xfId="881" applyNumberFormat="1" applyFont="1" applyFill="1" applyBorder="1" applyAlignment="1" applyProtection="1"/>
    <xf numFmtId="165" fontId="10" fillId="0" borderId="0" xfId="881" applyNumberFormat="1" applyFont="1" applyFill="1" applyBorder="1" applyAlignment="1" applyProtection="1"/>
    <xf numFmtId="3" fontId="10" fillId="0" borderId="0" xfId="881" applyNumberFormat="1" applyFont="1" applyFill="1" applyAlignment="1" applyProtection="1">
      <alignment vertical="center" wrapText="1"/>
    </xf>
    <xf numFmtId="166" fontId="10" fillId="0" borderId="0" xfId="881" applyNumberFormat="1" applyFont="1" applyFill="1" applyAlignment="1" applyProtection="1"/>
    <xf numFmtId="167" fontId="10" fillId="0" borderId="0" xfId="881" applyNumberFormat="1" applyFont="1" applyFill="1" applyAlignment="1" applyProtection="1"/>
    <xf numFmtId="164" fontId="10" fillId="0" borderId="0" xfId="881" applyNumberFormat="1" applyFont="1" applyFill="1" applyBorder="1" applyAlignment="1" applyProtection="1">
      <alignment horizontal="left"/>
    </xf>
    <xf numFmtId="168" fontId="10" fillId="0" borderId="0" xfId="881" applyNumberFormat="1" applyFont="1" applyFill="1" applyAlignment="1" applyProtection="1"/>
    <xf numFmtId="10" fontId="10" fillId="0" borderId="0" xfId="881" applyNumberFormat="1" applyFont="1" applyFill="1" applyAlignment="1" applyProtection="1">
      <alignment horizontal="right"/>
    </xf>
    <xf numFmtId="10" fontId="7" fillId="0" borderId="0" xfId="0" applyNumberFormat="1" applyFont="1" applyFill="1" applyProtection="1"/>
    <xf numFmtId="166" fontId="10" fillId="0" borderId="0" xfId="881" applyNumberFormat="1" applyFont="1" applyFill="1" applyAlignment="1" applyProtection="1">
      <alignment horizontal="center"/>
    </xf>
    <xf numFmtId="188" fontId="10" fillId="0" borderId="0" xfId="881" applyNumberFormat="1" applyFont="1" applyFill="1" applyAlignment="1" applyProtection="1">
      <alignment horizontal="center"/>
    </xf>
    <xf numFmtId="189" fontId="10" fillId="0" borderId="0" xfId="881" applyNumberFormat="1" applyFont="1" applyFill="1" applyAlignment="1" applyProtection="1"/>
    <xf numFmtId="178" fontId="10" fillId="0" borderId="0" xfId="881" applyNumberFormat="1" applyFont="1" applyFill="1" applyAlignment="1" applyProtection="1">
      <alignment horizontal="right"/>
    </xf>
    <xf numFmtId="186" fontId="10" fillId="0" borderId="0" xfId="198" applyNumberFormat="1" applyFont="1" applyFill="1" applyAlignment="1" applyProtection="1">
      <alignment horizontal="center"/>
    </xf>
    <xf numFmtId="178" fontId="10" fillId="0" borderId="0" xfId="881" applyNumberFormat="1" applyFont="1" applyFill="1" applyAlignment="1" applyProtection="1">
      <alignment horizontal="center"/>
    </xf>
    <xf numFmtId="10" fontId="10" fillId="0" borderId="0" xfId="881" applyNumberFormat="1" applyFont="1" applyFill="1" applyAlignment="1" applyProtection="1">
      <alignment horizontal="left"/>
    </xf>
    <xf numFmtId="168" fontId="10" fillId="0" borderId="0" xfId="881" applyNumberFormat="1" applyFont="1" applyFill="1" applyAlignment="1" applyProtection="1">
      <alignment horizontal="left"/>
    </xf>
    <xf numFmtId="41" fontId="10" fillId="0" borderId="0" xfId="881" applyNumberFormat="1" applyFont="1" applyFill="1" applyAlignment="1" applyProtection="1">
      <alignment horizontal="right"/>
    </xf>
    <xf numFmtId="178" fontId="10" fillId="0" borderId="0" xfId="881" applyNumberFormat="1" applyFont="1" applyFill="1" applyAlignment="1" applyProtection="1"/>
    <xf numFmtId="164" fontId="10" fillId="0" borderId="0" xfId="881" applyNumberFormat="1" applyFont="1" applyFill="1" applyBorder="1" applyAlignment="1" applyProtection="1">
      <alignment horizontal="left" vertical="center"/>
    </xf>
    <xf numFmtId="179" fontId="10" fillId="0" borderId="0" xfId="881" applyNumberFormat="1" applyFont="1" applyFill="1" applyAlignment="1" applyProtection="1"/>
    <xf numFmtId="3" fontId="10" fillId="0" borderId="0" xfId="881" applyNumberFormat="1" applyFont="1" applyFill="1" applyAlignment="1" applyProtection="1">
      <alignment horizontal="right"/>
    </xf>
    <xf numFmtId="173" fontId="10" fillId="0" borderId="15" xfId="198" applyNumberFormat="1" applyFont="1" applyFill="1" applyBorder="1" applyAlignment="1" applyProtection="1"/>
    <xf numFmtId="0" fontId="10" fillId="0" borderId="0" xfId="881" applyNumberFormat="1" applyFont="1" applyFill="1" applyBorder="1" applyAlignment="1" applyProtection="1">
      <alignment horizontal="left"/>
    </xf>
    <xf numFmtId="0" fontId="11" fillId="0" borderId="0" xfId="881" applyNumberFormat="1" applyFont="1" applyFill="1" applyAlignment="1" applyProtection="1"/>
    <xf numFmtId="0" fontId="10" fillId="0" borderId="0" xfId="0" applyFont="1" applyFill="1" applyAlignment="1" applyProtection="1">
      <alignment horizontal="left"/>
    </xf>
    <xf numFmtId="0" fontId="10" fillId="0" borderId="0" xfId="881" quotePrefix="1" applyNumberFormat="1" applyFont="1" applyFill="1" applyAlignment="1" applyProtection="1">
      <alignment horizontal="left"/>
    </xf>
    <xf numFmtId="172" fontId="10" fillId="0" borderId="0" xfId="881" applyFont="1" applyFill="1" applyBorder="1" applyAlignment="1" applyProtection="1">
      <alignment horizontal="center"/>
    </xf>
    <xf numFmtId="173" fontId="10" fillId="0" borderId="6" xfId="198" applyNumberFormat="1" applyFont="1" applyFill="1" applyBorder="1" applyAlignment="1" applyProtection="1"/>
    <xf numFmtId="3" fontId="10" fillId="0" borderId="0" xfId="881" applyNumberFormat="1" applyFont="1" applyFill="1" applyBorder="1" applyAlignment="1" applyProtection="1">
      <alignment horizontal="left"/>
    </xf>
    <xf numFmtId="49" fontId="10" fillId="0" borderId="0" xfId="881" applyNumberFormat="1" applyFont="1" applyFill="1" applyBorder="1" applyProtection="1"/>
    <xf numFmtId="49" fontId="10" fillId="0" borderId="0" xfId="881" applyNumberFormat="1" applyFont="1" applyFill="1" applyBorder="1" applyAlignment="1" applyProtection="1"/>
    <xf numFmtId="49" fontId="10" fillId="0" borderId="0" xfId="881" applyNumberFormat="1" applyFont="1" applyFill="1" applyBorder="1" applyAlignment="1" applyProtection="1">
      <alignment horizontal="center"/>
    </xf>
    <xf numFmtId="3" fontId="11" fillId="0" borderId="0" xfId="881" applyNumberFormat="1" applyFont="1" applyFill="1" applyBorder="1" applyAlignment="1" applyProtection="1"/>
    <xf numFmtId="165" fontId="11" fillId="0" borderId="0" xfId="881" applyNumberFormat="1" applyFont="1" applyFill="1" applyBorder="1" applyAlignment="1" applyProtection="1">
      <alignment horizontal="right"/>
    </xf>
    <xf numFmtId="3" fontId="10" fillId="0" borderId="0" xfId="881" applyNumberFormat="1" applyFont="1" applyFill="1" applyAlignment="1" applyProtection="1">
      <alignment horizontal="center" wrapText="1"/>
    </xf>
    <xf numFmtId="4" fontId="10" fillId="0" borderId="0" xfId="881" applyNumberFormat="1" applyFont="1" applyFill="1" applyAlignment="1" applyProtection="1"/>
    <xf numFmtId="3" fontId="10" fillId="0" borderId="0" xfId="881" applyNumberFormat="1" applyFont="1" applyAlignment="1" applyProtection="1"/>
    <xf numFmtId="41" fontId="206" fillId="0" borderId="0" xfId="881" applyNumberFormat="1" applyFont="1" applyFill="1" applyAlignment="1" applyProtection="1"/>
    <xf numFmtId="166" fontId="11" fillId="0" borderId="0" xfId="881" applyNumberFormat="1" applyFont="1" applyFill="1" applyProtection="1"/>
    <xf numFmtId="3" fontId="10" fillId="0" borderId="6" xfId="881" applyNumberFormat="1" applyFont="1" applyFill="1" applyBorder="1" applyAlignment="1" applyProtection="1">
      <alignment horizontal="center"/>
    </xf>
    <xf numFmtId="0" fontId="17" fillId="0" borderId="0" xfId="881" applyNumberFormat="1" applyFont="1" applyFill="1" applyBorder="1" applyAlignment="1" applyProtection="1">
      <alignment horizontal="left"/>
    </xf>
    <xf numFmtId="41" fontId="10" fillId="0" borderId="6" xfId="881" applyNumberFormat="1" applyFont="1" applyFill="1" applyBorder="1" applyAlignment="1" applyProtection="1">
      <alignment horizontal="center"/>
    </xf>
    <xf numFmtId="3" fontId="13" fillId="0" borderId="0" xfId="881" applyNumberFormat="1" applyFont="1" applyFill="1" applyAlignment="1" applyProtection="1">
      <alignment horizontal="center" wrapText="1"/>
    </xf>
    <xf numFmtId="0" fontId="7" fillId="0" borderId="0" xfId="0" applyFont="1" applyProtection="1"/>
    <xf numFmtId="0" fontId="80" fillId="0" borderId="6" xfId="881" applyNumberFormat="1" applyFont="1" applyFill="1" applyBorder="1" applyAlignment="1" applyProtection="1">
      <alignment horizontal="center"/>
    </xf>
    <xf numFmtId="169" fontId="10" fillId="0" borderId="0" xfId="881" applyNumberFormat="1" applyFont="1" applyFill="1" applyAlignment="1" applyProtection="1"/>
    <xf numFmtId="169" fontId="10" fillId="0" borderId="0" xfId="881" applyNumberFormat="1" applyFont="1" applyFill="1" applyBorder="1" applyAlignment="1" applyProtection="1"/>
    <xf numFmtId="10" fontId="10" fillId="27" borderId="0" xfId="899" applyNumberFormat="1" applyFont="1" applyFill="1" applyProtection="1"/>
    <xf numFmtId="169" fontId="10" fillId="0" borderId="6" xfId="881" applyNumberFormat="1" applyFont="1" applyFill="1" applyBorder="1" applyAlignment="1" applyProtection="1"/>
    <xf numFmtId="3" fontId="11" fillId="0" borderId="0" xfId="881" applyNumberFormat="1" applyFont="1" applyFill="1" applyAlignment="1" applyProtection="1">
      <alignment horizontal="right"/>
    </xf>
    <xf numFmtId="169" fontId="11" fillId="0" borderId="0" xfId="881" applyNumberFormat="1" applyFont="1" applyFill="1" applyAlignment="1" applyProtection="1"/>
    <xf numFmtId="191" fontId="10" fillId="0" borderId="0" xfId="899" applyNumberFormat="1" applyFont="1" applyFill="1" applyAlignment="1" applyProtection="1"/>
    <xf numFmtId="0" fontId="8" fillId="0" borderId="0" xfId="0" applyFont="1" applyFill="1" applyProtection="1"/>
    <xf numFmtId="0" fontId="10" fillId="0" borderId="0" xfId="0" applyFont="1" applyFill="1" applyProtection="1"/>
    <xf numFmtId="41" fontId="10" fillId="27" borderId="0" xfId="1176" applyNumberFormat="1" applyFont="1" applyFill="1" applyProtection="1"/>
    <xf numFmtId="41" fontId="32" fillId="27" borderId="0" xfId="1176" applyNumberFormat="1" applyFont="1" applyFill="1" applyProtection="1"/>
    <xf numFmtId="173" fontId="10" fillId="0" borderId="77" xfId="198" applyNumberFormat="1" applyFont="1" applyFill="1" applyBorder="1" applyAlignment="1" applyProtection="1"/>
    <xf numFmtId="172" fontId="10" fillId="0" borderId="0" xfId="881" applyNumberFormat="1" applyFont="1" applyFill="1" applyAlignment="1" applyProtection="1"/>
    <xf numFmtId="172" fontId="13" fillId="0" borderId="0" xfId="881" applyFont="1" applyFill="1" applyAlignment="1" applyProtection="1">
      <alignment horizontal="center"/>
    </xf>
    <xf numFmtId="181" fontId="10" fillId="0" borderId="0" xfId="198" applyNumberFormat="1" applyFont="1" applyFill="1" applyProtection="1"/>
    <xf numFmtId="172" fontId="10" fillId="0" borderId="0" xfId="881" applyFont="1" applyFill="1" applyAlignment="1" applyProtection="1">
      <alignment horizontal="center" vertical="top"/>
    </xf>
    <xf numFmtId="0" fontId="18" fillId="0" borderId="0" xfId="0" applyFont="1" applyAlignment="1" applyProtection="1">
      <alignment vertical="top" wrapText="1"/>
    </xf>
    <xf numFmtId="0" fontId="8" fillId="0" borderId="0" xfId="881" applyNumberFormat="1" applyFont="1" applyFill="1" applyAlignment="1" applyProtection="1">
      <alignment horizontal="center" vertical="top"/>
    </xf>
    <xf numFmtId="0" fontId="10" fillId="0" borderId="0" xfId="881" applyNumberFormat="1" applyFont="1" applyFill="1" applyAlignment="1" applyProtection="1">
      <alignment horizontal="center" vertical="top"/>
    </xf>
    <xf numFmtId="166" fontId="10" fillId="0" borderId="0" xfId="881" applyNumberFormat="1" applyFont="1" applyFill="1" applyProtection="1"/>
    <xf numFmtId="1" fontId="10" fillId="0" borderId="0" xfId="881" applyNumberFormat="1" applyFont="1" applyFill="1" applyProtection="1"/>
    <xf numFmtId="0" fontId="159" fillId="0" borderId="0" xfId="760" applyNumberFormat="1" applyFont="1" applyAlignment="1" applyProtection="1"/>
    <xf numFmtId="0" fontId="15" fillId="0" borderId="0" xfId="760" applyFont="1" applyAlignment="1" applyProtection="1"/>
    <xf numFmtId="0" fontId="10" fillId="0" borderId="0" xfId="791" applyFont="1" applyFill="1" applyBorder="1" applyAlignment="1" applyProtection="1"/>
    <xf numFmtId="0" fontId="15" fillId="0" borderId="0" xfId="760" applyNumberFormat="1" applyFont="1" applyAlignment="1" applyProtection="1">
      <alignment horizontal="center"/>
    </xf>
    <xf numFmtId="0" fontId="15" fillId="0" borderId="0" xfId="760" applyFont="1" applyAlignment="1" applyProtection="1">
      <alignment horizontal="right"/>
    </xf>
    <xf numFmtId="0" fontId="11" fillId="0" borderId="0" xfId="791" applyFont="1" applyFill="1" applyBorder="1" applyAlignment="1" applyProtection="1"/>
    <xf numFmtId="0" fontId="12" fillId="0" borderId="0" xfId="1123" applyFont="1" applyAlignment="1" applyProtection="1">
      <alignment horizontal="centerContinuous"/>
    </xf>
    <xf numFmtId="0" fontId="15" fillId="0" borderId="0" xfId="1123" applyFont="1" applyFill="1" applyAlignment="1" applyProtection="1">
      <alignment horizontal="left"/>
    </xf>
    <xf numFmtId="0" fontId="12" fillId="0" borderId="0" xfId="1123" applyFont="1" applyAlignment="1" applyProtection="1">
      <alignment horizontal="center"/>
    </xf>
    <xf numFmtId="0" fontId="15" fillId="0" borderId="0" xfId="760" applyFont="1" applyProtection="1"/>
    <xf numFmtId="0" fontId="15" fillId="0" borderId="53" xfId="760" applyNumberFormat="1" applyFont="1" applyBorder="1" applyAlignment="1" applyProtection="1">
      <alignment horizontal="center" wrapText="1"/>
    </xf>
    <xf numFmtId="0" fontId="12" fillId="0" borderId="52" xfId="1123" applyFont="1" applyBorder="1" applyAlignment="1" applyProtection="1">
      <alignment horizontal="center" wrapText="1"/>
    </xf>
    <xf numFmtId="0" fontId="12" fillId="0" borderId="51" xfId="1123" applyFont="1" applyBorder="1" applyAlignment="1" applyProtection="1">
      <alignment horizontal="center" wrapText="1"/>
    </xf>
    <xf numFmtId="0" fontId="12" fillId="0" borderId="0" xfId="1123" applyFont="1" applyBorder="1" applyAlignment="1" applyProtection="1">
      <alignment horizontal="center" wrapText="1"/>
    </xf>
    <xf numFmtId="0" fontId="12" fillId="0" borderId="50" xfId="1123" applyFont="1" applyBorder="1" applyAlignment="1" applyProtection="1">
      <alignment horizontal="center" wrapText="1"/>
    </xf>
    <xf numFmtId="0" fontId="15" fillId="0" borderId="0" xfId="760" applyFont="1" applyAlignment="1" applyProtection="1">
      <alignment wrapText="1"/>
    </xf>
    <xf numFmtId="0" fontId="15" fillId="0" borderId="51" xfId="760" applyNumberFormat="1" applyFont="1" applyBorder="1" applyAlignment="1" applyProtection="1">
      <alignment horizontal="center"/>
    </xf>
    <xf numFmtId="0" fontId="12" fillId="0" borderId="50" xfId="1123" applyFont="1" applyBorder="1" applyAlignment="1" applyProtection="1">
      <alignment horizontal="center"/>
    </xf>
    <xf numFmtId="0" fontId="12" fillId="0" borderId="51" xfId="1123" applyFont="1" applyBorder="1" applyAlignment="1" applyProtection="1">
      <alignment horizontal="center"/>
    </xf>
    <xf numFmtId="0" fontId="12" fillId="0" borderId="0" xfId="1123" applyFont="1" applyBorder="1" applyAlignment="1" applyProtection="1">
      <alignment horizontal="center"/>
    </xf>
    <xf numFmtId="0" fontId="161" fillId="0" borderId="0" xfId="760" applyFont="1" applyAlignment="1" applyProtection="1"/>
    <xf numFmtId="3" fontId="23" fillId="0" borderId="49" xfId="791" applyNumberFormat="1" applyFont="1" applyFill="1" applyBorder="1" applyAlignment="1" applyProtection="1">
      <alignment horizontal="center" wrapText="1"/>
    </xf>
    <xf numFmtId="3" fontId="23" fillId="0" borderId="11" xfId="791" applyNumberFormat="1" applyFont="1" applyFill="1" applyBorder="1" applyAlignment="1" applyProtection="1">
      <alignment horizontal="center" wrapText="1"/>
    </xf>
    <xf numFmtId="3" fontId="23" fillId="0" borderId="48" xfId="791" applyNumberFormat="1" applyFont="1" applyFill="1" applyBorder="1" applyAlignment="1" applyProtection="1">
      <alignment horizontal="center" wrapText="1"/>
    </xf>
    <xf numFmtId="0" fontId="15" fillId="0" borderId="50" xfId="1123" quotePrefix="1" applyFont="1" applyBorder="1" applyAlignment="1" applyProtection="1">
      <alignment horizontal="left"/>
    </xf>
    <xf numFmtId="173" fontId="87" fillId="27" borderId="51" xfId="0" applyNumberFormat="1" applyFont="1" applyFill="1" applyBorder="1" applyProtection="1"/>
    <xf numFmtId="173" fontId="87" fillId="27" borderId="0" xfId="0" applyNumberFormat="1" applyFont="1" applyFill="1" applyBorder="1" applyProtection="1"/>
    <xf numFmtId="173" fontId="87" fillId="27" borderId="50" xfId="0" applyNumberFormat="1" applyFont="1" applyFill="1" applyBorder="1" applyProtection="1"/>
    <xf numFmtId="0" fontId="15" fillId="0" borderId="50" xfId="1123" applyFont="1" applyBorder="1" applyProtection="1"/>
    <xf numFmtId="0" fontId="15" fillId="0" borderId="49" xfId="760" applyNumberFormat="1" applyFont="1" applyBorder="1" applyAlignment="1" applyProtection="1">
      <alignment horizontal="center"/>
    </xf>
    <xf numFmtId="0" fontId="15" fillId="0" borderId="48" xfId="1123" applyFont="1" applyBorder="1" applyProtection="1"/>
    <xf numFmtId="0" fontId="15" fillId="0" borderId="66" xfId="760" applyNumberFormat="1" applyFont="1" applyBorder="1" applyAlignment="1" applyProtection="1">
      <alignment horizontal="center"/>
    </xf>
    <xf numFmtId="0" fontId="15" fillId="0" borderId="0" xfId="1123" applyFont="1" applyProtection="1"/>
    <xf numFmtId="37" fontId="15" fillId="0" borderId="0" xfId="1123" applyNumberFormat="1" applyFont="1" applyProtection="1"/>
    <xf numFmtId="172" fontId="15" fillId="0" borderId="0" xfId="1124" applyFont="1" applyAlignment="1" applyProtection="1"/>
    <xf numFmtId="173" fontId="87" fillId="27" borderId="2" xfId="0" applyNumberFormat="1" applyFont="1" applyFill="1" applyBorder="1" applyProtection="1"/>
    <xf numFmtId="173" fontId="87" fillId="27" borderId="52" xfId="0" applyNumberFormat="1" applyFont="1" applyFill="1" applyBorder="1" applyProtection="1"/>
    <xf numFmtId="0" fontId="15" fillId="0" borderId="0" xfId="1125" applyFont="1" applyProtection="1"/>
    <xf numFmtId="0" fontId="12" fillId="0" borderId="0" xfId="1123" applyFont="1" applyProtection="1"/>
    <xf numFmtId="0" fontId="15" fillId="0" borderId="0" xfId="760" applyNumberFormat="1" applyFont="1" applyBorder="1" applyAlignment="1" applyProtection="1">
      <alignment horizontal="center" wrapText="1"/>
    </xf>
    <xf numFmtId="0" fontId="12" fillId="0" borderId="11" xfId="1123" applyFont="1" applyBorder="1" applyProtection="1"/>
    <xf numFmtId="0" fontId="12" fillId="0" borderId="11" xfId="1123" applyFont="1" applyBorder="1" applyAlignment="1" applyProtection="1">
      <alignment horizontal="center" wrapText="1"/>
    </xf>
    <xf numFmtId="0" fontId="12" fillId="0" borderId="2" xfId="1123" applyFont="1" applyBorder="1" applyAlignment="1" applyProtection="1">
      <alignment horizontal="center"/>
    </xf>
    <xf numFmtId="0" fontId="15" fillId="0" borderId="0" xfId="760" applyAlignment="1" applyProtection="1">
      <alignment horizontal="center"/>
    </xf>
    <xf numFmtId="0" fontId="87" fillId="27" borderId="0" xfId="198" applyNumberFormat="1" applyFont="1" applyFill="1" applyBorder="1" applyProtection="1"/>
    <xf numFmtId="0" fontId="15" fillId="0" borderId="15" xfId="760" applyFont="1" applyBorder="1" applyAlignment="1" applyProtection="1"/>
    <xf numFmtId="173" fontId="15" fillId="0" borderId="15" xfId="760" applyNumberFormat="1" applyFont="1" applyBorder="1" applyAlignment="1" applyProtection="1"/>
    <xf numFmtId="0" fontId="161" fillId="0" borderId="0" xfId="760" applyNumberFormat="1" applyFont="1" applyAlignment="1" applyProtection="1">
      <alignment horizontal="center"/>
    </xf>
    <xf numFmtId="0" fontId="16" fillId="0" borderId="0" xfId="760" applyNumberFormat="1" applyFont="1" applyAlignment="1" applyProtection="1">
      <alignment horizontal="center"/>
    </xf>
    <xf numFmtId="0" fontId="15" fillId="0" borderId="0" xfId="760" applyProtection="1"/>
    <xf numFmtId="0" fontId="15" fillId="0" borderId="48" xfId="1123" applyFont="1" applyBorder="1" applyAlignment="1" applyProtection="1">
      <alignment horizontal="left"/>
    </xf>
    <xf numFmtId="0" fontId="12" fillId="0" borderId="0" xfId="1123" applyFont="1" applyBorder="1" applyAlignment="1" applyProtection="1">
      <alignment wrapText="1"/>
    </xf>
    <xf numFmtId="0" fontId="7" fillId="0" borderId="0" xfId="760" applyNumberFormat="1" applyFont="1" applyAlignment="1" applyProtection="1">
      <alignment horizontal="center"/>
    </xf>
    <xf numFmtId="0" fontId="7" fillId="0" borderId="0" xfId="1123" applyFont="1" applyProtection="1"/>
    <xf numFmtId="37" fontId="7" fillId="0" borderId="0" xfId="1123" applyNumberFormat="1" applyFont="1" applyProtection="1"/>
    <xf numFmtId="0" fontId="7" fillId="0" borderId="0" xfId="760" applyFont="1" applyAlignment="1" applyProtection="1"/>
    <xf numFmtId="170" fontId="7" fillId="0" borderId="14" xfId="1124" applyNumberFormat="1" applyFont="1" applyBorder="1" applyAlignment="1" applyProtection="1"/>
    <xf numFmtId="172" fontId="7" fillId="0" borderId="0" xfId="1124" applyFont="1" applyAlignment="1" applyProtection="1"/>
    <xf numFmtId="0" fontId="7" fillId="0" borderId="0" xfId="1125" applyFont="1" applyProtection="1"/>
    <xf numFmtId="0" fontId="7" fillId="0" borderId="0" xfId="760" applyFont="1" applyProtection="1"/>
    <xf numFmtId="0" fontId="159" fillId="0" borderId="0" xfId="0" applyFont="1" applyAlignment="1" applyProtection="1"/>
    <xf numFmtId="0" fontId="15" fillId="0" borderId="0" xfId="0" applyFont="1" applyProtection="1"/>
    <xf numFmtId="3" fontId="11" fillId="0" borderId="0" xfId="198" applyNumberFormat="1" applyFont="1" applyFill="1" applyAlignment="1" applyProtection="1"/>
    <xf numFmtId="10" fontId="18" fillId="0" borderId="0" xfId="912" applyNumberFormat="1" applyFont="1" applyFill="1" applyAlignment="1" applyProtection="1">
      <alignment horizontal="center"/>
    </xf>
    <xf numFmtId="0" fontId="57" fillId="0" borderId="11" xfId="0" applyFont="1" applyBorder="1" applyAlignment="1" applyProtection="1">
      <alignment horizontal="center"/>
    </xf>
    <xf numFmtId="0" fontId="57" fillId="0" borderId="11" xfId="0" applyFont="1" applyBorder="1" applyProtection="1"/>
    <xf numFmtId="0" fontId="57" fillId="0" borderId="11" xfId="791" applyFont="1" applyFill="1" applyBorder="1" applyProtection="1"/>
    <xf numFmtId="173" fontId="57" fillId="0" borderId="11" xfId="276" applyNumberFormat="1" applyFont="1" applyFill="1" applyBorder="1" applyAlignment="1" applyProtection="1">
      <alignment horizontal="center"/>
    </xf>
    <xf numFmtId="0" fontId="57" fillId="0" borderId="0" xfId="791" applyFont="1" applyAlignment="1" applyProtection="1">
      <alignment horizontal="center"/>
    </xf>
    <xf numFmtId="0" fontId="34" fillId="0" borderId="0" xfId="791" applyFont="1" applyAlignment="1" applyProtection="1"/>
    <xf numFmtId="0" fontId="57" fillId="0" borderId="0" xfId="791" applyFont="1" applyProtection="1"/>
    <xf numFmtId="0" fontId="57" fillId="0" borderId="0" xfId="0" applyNumberFormat="1" applyFont="1" applyAlignment="1" applyProtection="1">
      <alignment horizontal="center"/>
    </xf>
    <xf numFmtId="0" fontId="57" fillId="0" borderId="0" xfId="877" applyNumberFormat="1" applyFont="1" applyAlignment="1" applyProtection="1"/>
    <xf numFmtId="0" fontId="57" fillId="0" borderId="0" xfId="0" applyFont="1" applyAlignment="1" applyProtection="1"/>
    <xf numFmtId="0" fontId="57" fillId="0" borderId="0" xfId="0" applyFont="1" applyAlignment="1" applyProtection="1">
      <alignment vertical="top"/>
    </xf>
    <xf numFmtId="0" fontId="57" fillId="0" borderId="0" xfId="0" applyFont="1" applyFill="1" applyAlignment="1" applyProtection="1"/>
    <xf numFmtId="0" fontId="15" fillId="0" borderId="0" xfId="0" applyFont="1" applyFill="1" applyProtection="1"/>
    <xf numFmtId="0" fontId="57" fillId="0" borderId="0" xfId="0" applyFont="1" applyFill="1" applyAlignment="1" applyProtection="1">
      <alignment vertical="top"/>
    </xf>
    <xf numFmtId="0" fontId="124" fillId="0" borderId="0" xfId="0" applyFont="1" applyFill="1" applyAlignment="1" applyProtection="1"/>
    <xf numFmtId="0" fontId="57" fillId="0" borderId="0" xfId="0" applyFont="1" applyProtection="1"/>
    <xf numFmtId="0" fontId="83" fillId="0" borderId="0" xfId="0" applyFont="1" applyProtection="1"/>
    <xf numFmtId="0" fontId="159" fillId="0" borderId="0" xfId="878" applyFont="1" applyFill="1" applyAlignment="1" applyProtection="1"/>
    <xf numFmtId="0" fontId="15" fillId="0" borderId="0" xfId="878" applyFont="1" applyFill="1" applyAlignment="1" applyProtection="1">
      <alignment horizontal="center"/>
    </xf>
    <xf numFmtId="0" fontId="15" fillId="0" borderId="0" xfId="878" applyFont="1" applyFill="1" applyProtection="1"/>
    <xf numFmtId="0" fontId="11" fillId="0" borderId="0" xfId="0" quotePrefix="1" applyFont="1" applyFill="1" applyAlignment="1" applyProtection="1">
      <alignment horizontal="left"/>
    </xf>
    <xf numFmtId="0" fontId="14" fillId="0" borderId="0" xfId="0" applyFont="1" applyFill="1" applyAlignment="1" applyProtection="1">
      <alignment horizontal="center"/>
    </xf>
    <xf numFmtId="0" fontId="9" fillId="0" borderId="0" xfId="878" applyFont="1" applyFill="1" applyAlignment="1" applyProtection="1">
      <alignment horizontal="left"/>
    </xf>
    <xf numFmtId="0" fontId="14" fillId="0" borderId="0" xfId="0" applyFont="1" applyFill="1" applyProtection="1"/>
    <xf numFmtId="0" fontId="12" fillId="0" borderId="0" xfId="878" applyFont="1" applyFill="1" applyBorder="1" applyAlignment="1" applyProtection="1">
      <alignment horizontal="left"/>
    </xf>
    <xf numFmtId="0" fontId="12" fillId="0" borderId="0" xfId="878" applyFont="1" applyFill="1" applyAlignment="1" applyProtection="1">
      <alignment horizontal="center"/>
    </xf>
    <xf numFmtId="9" fontId="12" fillId="0" borderId="0" xfId="878" applyNumberFormat="1" applyFont="1" applyFill="1" applyAlignment="1" applyProtection="1">
      <alignment horizontal="center"/>
    </xf>
    <xf numFmtId="9" fontId="12" fillId="0" borderId="0" xfId="878" quotePrefix="1" applyNumberFormat="1" applyFont="1" applyFill="1" applyAlignment="1" applyProtection="1">
      <alignment horizontal="center"/>
    </xf>
    <xf numFmtId="0" fontId="12" fillId="0" borderId="0" xfId="878" applyFont="1" applyFill="1" applyBorder="1" applyProtection="1"/>
    <xf numFmtId="0" fontId="20" fillId="0" borderId="0" xfId="878" applyFont="1" applyFill="1" applyAlignment="1" applyProtection="1">
      <alignment horizontal="center"/>
    </xf>
    <xf numFmtId="0" fontId="34" fillId="0" borderId="0" xfId="878" applyFont="1" applyFill="1" applyAlignment="1" applyProtection="1">
      <alignment horizontal="left"/>
    </xf>
    <xf numFmtId="0" fontId="13" fillId="0" borderId="0" xfId="878" applyFont="1" applyFill="1" applyAlignment="1" applyProtection="1">
      <alignment horizontal="left"/>
    </xf>
    <xf numFmtId="0" fontId="13" fillId="0" borderId="0" xfId="878" applyFont="1" applyFill="1" applyAlignment="1" applyProtection="1">
      <alignment horizontal="center"/>
    </xf>
    <xf numFmtId="38" fontId="15" fillId="0" borderId="0" xfId="0" quotePrefix="1" applyNumberFormat="1" applyFont="1" applyFill="1" applyBorder="1" applyAlignment="1" applyProtection="1">
      <alignment horizontal="center"/>
    </xf>
    <xf numFmtId="38" fontId="15" fillId="0" borderId="0" xfId="0" applyNumberFormat="1" applyFont="1" applyFill="1" applyBorder="1" applyAlignment="1" applyProtection="1"/>
    <xf numFmtId="41" fontId="15" fillId="0" borderId="0" xfId="878" applyNumberFormat="1" applyFont="1" applyFill="1" applyBorder="1" applyProtection="1"/>
    <xf numFmtId="0" fontId="15" fillId="0" borderId="0" xfId="878" applyFont="1" applyFill="1" applyAlignment="1" applyProtection="1">
      <alignment horizontal="center" vertical="top"/>
    </xf>
    <xf numFmtId="0" fontId="19" fillId="0" borderId="0" xfId="878" applyFont="1" applyFill="1" applyAlignment="1" applyProtection="1">
      <alignment horizontal="center"/>
    </xf>
    <xf numFmtId="41" fontId="15" fillId="0" borderId="11" xfId="878" applyNumberFormat="1" applyFont="1" applyFill="1" applyBorder="1" applyProtection="1"/>
    <xf numFmtId="41" fontId="15" fillId="0" borderId="11" xfId="878" applyNumberFormat="1" applyFont="1" applyFill="1" applyBorder="1" applyAlignment="1" applyProtection="1">
      <alignment vertical="top"/>
    </xf>
    <xf numFmtId="41" fontId="15" fillId="0" borderId="0" xfId="878" applyNumberFormat="1" applyFont="1" applyFill="1" applyProtection="1"/>
    <xf numFmtId="37" fontId="15" fillId="0" borderId="0" xfId="878" applyNumberFormat="1" applyFont="1" applyFill="1" applyProtection="1"/>
    <xf numFmtId="37" fontId="15" fillId="0" borderId="0" xfId="0" applyNumberFormat="1" applyFont="1" applyFill="1" applyProtection="1"/>
    <xf numFmtId="38" fontId="15" fillId="0" borderId="0" xfId="0" applyNumberFormat="1" applyFont="1" applyFill="1" applyProtection="1"/>
    <xf numFmtId="0" fontId="133" fillId="0" borderId="0" xfId="878" applyFont="1" applyFill="1" applyAlignment="1" applyProtection="1">
      <alignment horizontal="center"/>
    </xf>
    <xf numFmtId="0" fontId="12" fillId="0" borderId="0" xfId="879" quotePrefix="1" applyFont="1" applyFill="1" applyBorder="1" applyProtection="1"/>
    <xf numFmtId="41" fontId="133" fillId="0" borderId="0" xfId="878" applyNumberFormat="1" applyFont="1" applyFill="1" applyProtection="1"/>
    <xf numFmtId="37" fontId="15" fillId="0" borderId="14" xfId="0" applyNumberFormat="1" applyFont="1" applyFill="1" applyBorder="1" applyProtection="1"/>
    <xf numFmtId="0" fontId="14" fillId="0" borderId="0" xfId="878" applyFont="1" applyFill="1" applyAlignment="1" applyProtection="1">
      <alignment horizontal="center"/>
    </xf>
    <xf numFmtId="0" fontId="12" fillId="0" borderId="0" xfId="878" applyFont="1" applyFill="1" applyBorder="1" applyAlignment="1" applyProtection="1">
      <alignment vertical="center"/>
    </xf>
    <xf numFmtId="37" fontId="15" fillId="0" borderId="0" xfId="878" applyNumberFormat="1" applyFont="1" applyFill="1" applyAlignment="1" applyProtection="1">
      <alignment vertical="center"/>
    </xf>
    <xf numFmtId="175" fontId="16" fillId="0" borderId="0" xfId="878" applyNumberFormat="1" applyFont="1" applyFill="1" applyAlignment="1" applyProtection="1">
      <alignment vertical="center"/>
    </xf>
    <xf numFmtId="37" fontId="12" fillId="0" borderId="12" xfId="878" applyNumberFormat="1" applyFont="1" applyFill="1" applyBorder="1" applyProtection="1"/>
    <xf numFmtId="0" fontId="11" fillId="0" borderId="0" xfId="878" applyFont="1" applyFill="1" applyAlignment="1" applyProtection="1">
      <alignment horizontal="center"/>
    </xf>
    <xf numFmtId="0" fontId="11" fillId="0" borderId="0" xfId="0" applyFont="1" applyFill="1" applyAlignment="1" applyProtection="1">
      <alignment horizontal="center"/>
    </xf>
    <xf numFmtId="37" fontId="15" fillId="0" borderId="0" xfId="878" applyNumberFormat="1" applyFont="1" applyFill="1" applyBorder="1" applyProtection="1"/>
    <xf numFmtId="0" fontId="90" fillId="0" borderId="0" xfId="878" applyFont="1" applyFill="1" applyProtection="1"/>
    <xf numFmtId="185" fontId="15" fillId="0" borderId="0" xfId="0" quotePrefix="1" applyNumberFormat="1" applyFont="1" applyFill="1" applyBorder="1" applyAlignment="1" applyProtection="1">
      <alignment horizontal="center"/>
    </xf>
    <xf numFmtId="0" fontId="15" fillId="0" borderId="0" xfId="878" applyFont="1" applyFill="1" applyAlignment="1" applyProtection="1"/>
    <xf numFmtId="0" fontId="16" fillId="0" borderId="0" xfId="878" applyFont="1" applyFill="1" applyAlignment="1" applyProtection="1">
      <alignment horizontal="center"/>
    </xf>
    <xf numFmtId="0" fontId="93" fillId="0" borderId="0" xfId="878" applyFont="1" applyFill="1" applyAlignment="1" applyProtection="1">
      <alignment horizontal="center"/>
    </xf>
    <xf numFmtId="185" fontId="15" fillId="0" borderId="0" xfId="0" applyNumberFormat="1" applyFont="1" applyFill="1" applyBorder="1" applyAlignment="1" applyProtection="1">
      <alignment horizontal="center"/>
    </xf>
    <xf numFmtId="38" fontId="15" fillId="0" borderId="0" xfId="0" applyNumberFormat="1" applyFont="1" applyFill="1" applyBorder="1" applyAlignment="1" applyProtection="1">
      <alignment horizontal="left"/>
    </xf>
    <xf numFmtId="43" fontId="15" fillId="27" borderId="0" xfId="198" applyFont="1" applyFill="1" applyBorder="1" applyProtection="1"/>
    <xf numFmtId="175" fontId="16" fillId="0" borderId="0" xfId="878" applyNumberFormat="1" applyFont="1" applyFill="1" applyAlignment="1" applyProtection="1">
      <alignment horizontal="center" vertical="center"/>
    </xf>
    <xf numFmtId="0" fontId="15" fillId="0" borderId="0" xfId="0" applyFont="1" applyFill="1" applyAlignment="1" applyProtection="1">
      <alignment horizontal="center"/>
    </xf>
    <xf numFmtId="0" fontId="159" fillId="0" borderId="0" xfId="0" applyFont="1" applyFill="1" applyAlignment="1" applyProtection="1"/>
    <xf numFmtId="43" fontId="15" fillId="0" borderId="0" xfId="198" applyFont="1" applyFill="1" applyProtection="1"/>
    <xf numFmtId="173" fontId="15" fillId="0" borderId="0" xfId="198" applyNumberFormat="1" applyFont="1" applyFill="1" applyProtection="1"/>
    <xf numFmtId="0" fontId="120" fillId="0" borderId="0" xfId="0" applyFont="1" applyFill="1" applyProtection="1"/>
    <xf numFmtId="0" fontId="91" fillId="0" borderId="0" xfId="878" applyFont="1" applyFill="1" applyAlignment="1" applyProtection="1">
      <alignment horizontal="left"/>
    </xf>
    <xf numFmtId="0" fontId="12" fillId="0" borderId="11" xfId="0" applyFont="1" applyFill="1" applyBorder="1" applyAlignment="1" applyProtection="1">
      <alignment horizontal="center"/>
    </xf>
    <xf numFmtId="0" fontId="12" fillId="0" borderId="0" xfId="0" applyFont="1" applyFill="1" applyAlignment="1" applyProtection="1">
      <alignment horizontal="center"/>
    </xf>
    <xf numFmtId="173" fontId="12" fillId="0" borderId="11" xfId="198" applyNumberFormat="1" applyFont="1" applyFill="1" applyBorder="1" applyAlignment="1" applyProtection="1">
      <alignment horizontal="center"/>
    </xf>
    <xf numFmtId="0" fontId="12" fillId="0" borderId="11" xfId="0" applyFont="1" applyFill="1" applyBorder="1" applyAlignment="1" applyProtection="1">
      <alignment horizontal="center" wrapText="1"/>
    </xf>
    <xf numFmtId="0" fontId="87" fillId="27" borderId="0" xfId="0" applyFont="1" applyFill="1" applyBorder="1" applyProtection="1"/>
    <xf numFmtId="0" fontId="87" fillId="27" borderId="0" xfId="0" applyFont="1" applyFill="1" applyProtection="1"/>
    <xf numFmtId="0" fontId="87" fillId="0" borderId="0" xfId="0" applyFont="1" applyFill="1" applyProtection="1"/>
    <xf numFmtId="37" fontId="87" fillId="27" borderId="0" xfId="0" applyNumberFormat="1" applyFont="1" applyFill="1" applyProtection="1"/>
    <xf numFmtId="37" fontId="87" fillId="27" borderId="0" xfId="0" applyNumberFormat="1" applyFont="1" applyFill="1" applyAlignment="1" applyProtection="1">
      <alignment horizontal="center"/>
    </xf>
    <xf numFmtId="37" fontId="15" fillId="0" borderId="0" xfId="275" applyNumberFormat="1" applyFont="1" applyFill="1" applyProtection="1"/>
    <xf numFmtId="37" fontId="12" fillId="0" borderId="0" xfId="198" applyNumberFormat="1" applyFont="1" applyFill="1" applyBorder="1" applyProtection="1"/>
    <xf numFmtId="43" fontId="15" fillId="0" borderId="0" xfId="275" applyFont="1" applyFill="1" applyBorder="1" applyProtection="1"/>
    <xf numFmtId="43" fontId="87" fillId="27" borderId="0" xfId="275" applyFont="1" applyFill="1" applyBorder="1" applyAlignment="1" applyProtection="1">
      <alignment horizontal="center"/>
    </xf>
    <xf numFmtId="43" fontId="87" fillId="27" borderId="0" xfId="275" applyFont="1" applyFill="1" applyBorder="1" applyAlignment="1" applyProtection="1">
      <alignment horizontal="left"/>
    </xf>
    <xf numFmtId="173" fontId="87" fillId="27" borderId="0" xfId="275" applyNumberFormat="1" applyFont="1" applyFill="1" applyBorder="1" applyProtection="1"/>
    <xf numFmtId="43" fontId="87" fillId="27" borderId="0" xfId="198" applyFont="1" applyFill="1" applyBorder="1" applyProtection="1"/>
    <xf numFmtId="43" fontId="15" fillId="0" borderId="0" xfId="198" applyFont="1" applyFill="1" applyBorder="1" applyProtection="1"/>
    <xf numFmtId="173" fontId="87" fillId="27" borderId="0" xfId="198" applyNumberFormat="1" applyFont="1" applyFill="1" applyBorder="1" applyProtection="1"/>
    <xf numFmtId="43" fontId="87" fillId="27" borderId="0" xfId="198" applyFont="1" applyFill="1" applyBorder="1" applyAlignment="1" applyProtection="1">
      <alignment horizontal="center"/>
    </xf>
    <xf numFmtId="0" fontId="15" fillId="0" borderId="0" xfId="0" applyFont="1" applyFill="1" applyAlignment="1" applyProtection="1">
      <alignment horizontal="left"/>
    </xf>
    <xf numFmtId="0" fontId="12" fillId="0" borderId="0" xfId="0" applyFont="1" applyFill="1" applyProtection="1"/>
    <xf numFmtId="37" fontId="12" fillId="0" borderId="14" xfId="198" applyNumberFormat="1" applyFont="1" applyFill="1" applyBorder="1" applyProtection="1"/>
    <xf numFmtId="0" fontId="15" fillId="0" borderId="0" xfId="0" quotePrefix="1" applyFont="1" applyFill="1" applyBorder="1" applyAlignment="1" applyProtection="1">
      <alignment horizontal="left" wrapText="1"/>
    </xf>
    <xf numFmtId="37" fontId="15" fillId="0" borderId="0" xfId="0" applyNumberFormat="1" applyFont="1" applyFill="1" applyAlignment="1" applyProtection="1">
      <alignment horizontal="left"/>
    </xf>
    <xf numFmtId="37" fontId="15" fillId="0" borderId="0" xfId="198" applyNumberFormat="1" applyFont="1" applyFill="1" applyProtection="1"/>
    <xf numFmtId="0" fontId="87" fillId="27" borderId="0" xfId="0" applyFont="1" applyFill="1" applyAlignment="1" applyProtection="1">
      <alignment horizontal="left"/>
    </xf>
    <xf numFmtId="0" fontId="87" fillId="27" borderId="0" xfId="0" applyFont="1" applyFill="1" applyBorder="1" applyAlignment="1" applyProtection="1">
      <alignment horizontal="left"/>
    </xf>
    <xf numFmtId="0" fontId="87" fillId="0" borderId="0" xfId="0" applyFont="1" applyFill="1" applyAlignment="1" applyProtection="1">
      <alignment horizontal="left"/>
    </xf>
    <xf numFmtId="37" fontId="87" fillId="0" borderId="0" xfId="0" applyNumberFormat="1" applyFont="1" applyFill="1" applyProtection="1"/>
    <xf numFmtId="37" fontId="0" fillId="0" borderId="0" xfId="0" applyNumberFormat="1" applyFill="1" applyProtection="1"/>
    <xf numFmtId="37" fontId="12" fillId="0" borderId="14" xfId="0" applyNumberFormat="1" applyFont="1" applyFill="1" applyBorder="1" applyProtection="1"/>
    <xf numFmtId="0" fontId="12" fillId="0" borderId="0" xfId="0" applyFont="1" applyFill="1" applyAlignment="1" applyProtection="1">
      <alignment horizontal="right"/>
    </xf>
    <xf numFmtId="37" fontId="12" fillId="0" borderId="0" xfId="0" applyNumberFormat="1" applyFont="1" applyFill="1" applyBorder="1" applyProtection="1"/>
    <xf numFmtId="173" fontId="15" fillId="0" borderId="0" xfId="0" applyNumberFormat="1" applyFont="1" applyFill="1" applyProtection="1"/>
    <xf numFmtId="37" fontId="87" fillId="0" borderId="0" xfId="0" applyNumberFormat="1" applyFont="1" applyFill="1" applyAlignment="1" applyProtection="1">
      <alignment horizontal="center"/>
    </xf>
    <xf numFmtId="1" fontId="15" fillId="0" borderId="0" xfId="0" applyNumberFormat="1" applyFont="1" applyFill="1" applyAlignment="1" applyProtection="1">
      <alignment horizontal="left"/>
    </xf>
    <xf numFmtId="173" fontId="87" fillId="0" borderId="0" xfId="275" applyNumberFormat="1" applyFont="1" applyFill="1" applyBorder="1" applyProtection="1"/>
    <xf numFmtId="0" fontId="15" fillId="0" borderId="0" xfId="0" applyFont="1" applyFill="1" applyBorder="1" applyProtection="1"/>
    <xf numFmtId="173" fontId="15" fillId="0" borderId="0" xfId="198" applyNumberFormat="1" applyFont="1" applyFill="1" applyBorder="1" applyProtection="1"/>
    <xf numFmtId="37" fontId="99" fillId="0" borderId="0" xfId="311" applyNumberFormat="1" applyFill="1" applyProtection="1"/>
    <xf numFmtId="0" fontId="158" fillId="27" borderId="0" xfId="0" applyFont="1" applyFill="1" applyProtection="1"/>
    <xf numFmtId="0" fontId="21" fillId="0" borderId="0" xfId="0" applyFont="1" applyFill="1" applyAlignment="1" applyProtection="1">
      <alignment wrapText="1"/>
    </xf>
    <xf numFmtId="0" fontId="21" fillId="0" borderId="0" xfId="791" applyFont="1" applyFill="1" applyBorder="1" applyAlignment="1" applyProtection="1"/>
    <xf numFmtId="0" fontId="9" fillId="0" borderId="0" xfId="0" applyFont="1" applyFill="1" applyAlignment="1" applyProtection="1"/>
    <xf numFmtId="3" fontId="15" fillId="0" borderId="0" xfId="798" applyFont="1" applyFill="1" applyBorder="1" applyProtection="1"/>
    <xf numFmtId="3" fontId="15" fillId="0" borderId="0" xfId="798" applyFont="1" applyFill="1" applyBorder="1" applyAlignment="1" applyProtection="1">
      <alignment wrapText="1"/>
    </xf>
    <xf numFmtId="3" fontId="15" fillId="0" borderId="0" xfId="798" applyFont="1" applyFill="1" applyBorder="1" applyAlignment="1" applyProtection="1">
      <alignment horizontal="left" wrapText="1"/>
    </xf>
    <xf numFmtId="3" fontId="16" fillId="0" borderId="0" xfId="798" applyFont="1" applyFill="1" applyBorder="1" applyAlignment="1" applyProtection="1">
      <alignment horizontal="left"/>
    </xf>
    <xf numFmtId="3" fontId="15" fillId="0" borderId="0" xfId="798" applyFont="1" applyFill="1" applyBorder="1" applyAlignment="1" applyProtection="1">
      <alignment horizontal="center"/>
    </xf>
    <xf numFmtId="3" fontId="7" fillId="0" borderId="0" xfId="798" applyFont="1" applyFill="1" applyBorder="1" applyAlignment="1" applyProtection="1">
      <alignment horizontal="left"/>
    </xf>
    <xf numFmtId="3" fontId="15" fillId="0" borderId="0" xfId="798" applyFont="1" applyFill="1" applyBorder="1" applyAlignment="1" applyProtection="1">
      <alignment horizontal="left"/>
    </xf>
    <xf numFmtId="3" fontId="15" fillId="0" borderId="2" xfId="798" applyFont="1" applyFill="1" applyBorder="1" applyAlignment="1" applyProtection="1">
      <alignment horizontal="right" wrapText="1"/>
    </xf>
    <xf numFmtId="3" fontId="15"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5" fillId="0" borderId="11" xfId="798" applyFont="1" applyFill="1" applyBorder="1" applyAlignment="1" applyProtection="1">
      <alignment horizontal="center" wrapText="1"/>
    </xf>
    <xf numFmtId="3" fontId="15" fillId="0" borderId="0" xfId="798" applyFont="1" applyFill="1" applyBorder="1" applyAlignment="1" applyProtection="1">
      <alignment horizontal="center" wrapText="1"/>
    </xf>
    <xf numFmtId="173" fontId="74" fillId="0" borderId="0" xfId="198" applyNumberFormat="1" applyFont="1" applyFill="1" applyBorder="1" applyAlignment="1" applyProtection="1">
      <alignment wrapText="1"/>
    </xf>
    <xf numFmtId="10" fontId="74" fillId="0" borderId="0" xfId="998" applyNumberFormat="1" applyFont="1" applyFill="1" applyBorder="1" applyAlignment="1" applyProtection="1">
      <alignment wrapText="1"/>
    </xf>
    <xf numFmtId="173" fontId="15" fillId="0" borderId="0" xfId="198" applyNumberFormat="1" applyFont="1" applyFill="1" applyBorder="1" applyAlignment="1" applyProtection="1">
      <alignment wrapText="1"/>
    </xf>
    <xf numFmtId="3" fontId="15" fillId="0" borderId="0" xfId="798" applyFont="1" applyFill="1" applyBorder="1" applyAlignment="1" applyProtection="1">
      <alignment vertical="top"/>
    </xf>
    <xf numFmtId="3" fontId="15" fillId="0" borderId="15" xfId="798" applyFont="1" applyFill="1" applyBorder="1" applyAlignment="1" applyProtection="1">
      <alignment vertical="top"/>
    </xf>
    <xf numFmtId="174" fontId="74" fillId="0" borderId="15" xfId="602" applyNumberFormat="1" applyFont="1" applyFill="1" applyBorder="1" applyAlignment="1" applyProtection="1">
      <alignment wrapText="1"/>
    </xf>
    <xf numFmtId="0" fontId="16" fillId="0" borderId="0" xfId="0" applyFont="1" applyAlignment="1" applyProtection="1">
      <alignment horizontal="center"/>
    </xf>
    <xf numFmtId="0" fontId="7"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73" fontId="192" fillId="0" borderId="0" xfId="198" applyNumberFormat="1" applyFont="1" applyFill="1" applyBorder="1" applyAlignment="1" applyProtection="1"/>
    <xf numFmtId="173"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7" fillId="27" borderId="0" xfId="198" applyNumberFormat="1" applyFont="1" applyFill="1" applyBorder="1" applyAlignment="1" applyProtection="1">
      <alignment horizontal="center"/>
    </xf>
    <xf numFmtId="173" fontId="7"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5" fillId="0" borderId="0" xfId="791" applyFont="1" applyFill="1" applyBorder="1" applyProtection="1"/>
    <xf numFmtId="0" fontId="57" fillId="0" borderId="0" xfId="791" applyFont="1" applyFill="1" applyBorder="1" applyProtection="1"/>
    <xf numFmtId="0" fontId="10" fillId="0" borderId="0" xfId="0" applyFont="1" applyFill="1" applyAlignment="1" applyProtection="1">
      <alignment horizontal="center"/>
    </xf>
    <xf numFmtId="49" fontId="10" fillId="0" borderId="0" xfId="878" applyNumberFormat="1" applyFont="1" applyFill="1" applyAlignment="1" applyProtection="1">
      <alignment horizontal="center"/>
    </xf>
    <xf numFmtId="0" fontId="10" fillId="0" borderId="0" xfId="791" applyFont="1" applyFill="1" applyBorder="1" applyAlignment="1" applyProtection="1">
      <alignment horizontal="center"/>
    </xf>
    <xf numFmtId="0" fontId="15" fillId="0" borderId="0" xfId="0" applyFont="1" applyFill="1" applyAlignment="1" applyProtection="1"/>
    <xf numFmtId="0" fontId="15" fillId="0" borderId="0" xfId="791" applyFont="1" applyFill="1" applyBorder="1" applyAlignment="1" applyProtection="1"/>
    <xf numFmtId="0" fontId="12" fillId="0" borderId="0" xfId="791" applyFont="1" applyFill="1" applyBorder="1" applyAlignment="1" applyProtection="1">
      <alignment horizontal="center"/>
    </xf>
    <xf numFmtId="0" fontId="12" fillId="0" borderId="0" xfId="791" applyFont="1" applyFill="1" applyBorder="1" applyAlignment="1" applyProtection="1">
      <alignment horizontal="left"/>
    </xf>
    <xf numFmtId="0" fontId="12" fillId="0" borderId="0" xfId="791" applyNumberFormat="1" applyFont="1" applyFill="1" applyBorder="1" applyAlignment="1" applyProtection="1">
      <alignment horizontal="left"/>
    </xf>
    <xf numFmtId="0" fontId="12" fillId="0" borderId="0" xfId="791" applyFont="1" applyFill="1" applyBorder="1" applyAlignment="1" applyProtection="1"/>
    <xf numFmtId="0" fontId="16" fillId="0" borderId="0" xfId="0" applyFont="1" applyFill="1" applyBorder="1" applyProtection="1"/>
    <xf numFmtId="3" fontId="16" fillId="0" borderId="0" xfId="791" applyNumberFormat="1" applyFont="1" applyFill="1" applyBorder="1" applyAlignment="1" applyProtection="1">
      <alignment horizontal="center"/>
    </xf>
    <xf numFmtId="0" fontId="12" fillId="0" borderId="0" xfId="791" applyNumberFormat="1" applyFont="1" applyFill="1" applyBorder="1" applyAlignment="1" applyProtection="1">
      <alignment horizontal="center"/>
    </xf>
    <xf numFmtId="0" fontId="15" fillId="0" borderId="0" xfId="791" applyFont="1" applyFill="1" applyBorder="1" applyAlignment="1" applyProtection="1">
      <alignment horizontal="center" wrapText="1"/>
    </xf>
    <xf numFmtId="0" fontId="20" fillId="0" borderId="0" xfId="878" applyFont="1" applyFill="1" applyAlignment="1" applyProtection="1">
      <alignment horizontal="center" wrapText="1"/>
    </xf>
    <xf numFmtId="0" fontId="15" fillId="0" borderId="0" xfId="791" applyNumberFormat="1" applyFont="1" applyFill="1" applyBorder="1" applyAlignment="1" applyProtection="1">
      <alignment horizontal="center"/>
    </xf>
    <xf numFmtId="0" fontId="20" fillId="0" borderId="0" xfId="791" applyFont="1" applyFill="1" applyBorder="1" applyAlignment="1" applyProtection="1">
      <alignment horizontal="center"/>
    </xf>
    <xf numFmtId="173" fontId="16" fillId="0" borderId="0" xfId="276" applyNumberFormat="1" applyFont="1" applyFill="1" applyBorder="1" applyAlignment="1" applyProtection="1">
      <alignment horizontal="right"/>
    </xf>
    <xf numFmtId="173" fontId="15" fillId="0" borderId="0" xfId="276" applyNumberFormat="1" applyFont="1" applyFill="1" applyBorder="1" applyAlignment="1" applyProtection="1">
      <alignment horizontal="left"/>
    </xf>
    <xf numFmtId="0" fontId="20" fillId="0" borderId="0" xfId="791" applyFont="1" applyFill="1" applyBorder="1" applyAlignment="1" applyProtection="1">
      <alignment horizontal="center" wrapText="1"/>
    </xf>
    <xf numFmtId="0" fontId="15" fillId="0" borderId="14" xfId="791" applyFont="1" applyFill="1" applyBorder="1" applyAlignment="1" applyProtection="1">
      <alignment horizontal="center" wrapText="1"/>
    </xf>
    <xf numFmtId="173" fontId="15" fillId="0" borderId="0" xfId="276" applyNumberFormat="1" applyFont="1" applyFill="1" applyBorder="1" applyAlignment="1" applyProtection="1">
      <alignment horizontal="right"/>
    </xf>
    <xf numFmtId="173" fontId="15" fillId="0" borderId="0" xfId="198" applyNumberFormat="1" applyFont="1" applyFill="1" applyBorder="1" applyAlignment="1" applyProtection="1">
      <alignment horizontal="center" wrapText="1"/>
    </xf>
    <xf numFmtId="3" fontId="7" fillId="0" borderId="0" xfId="791" applyNumberFormat="1" applyFont="1" applyFill="1" applyBorder="1" applyAlignment="1" applyProtection="1"/>
    <xf numFmtId="37" fontId="99" fillId="0" borderId="0" xfId="311" applyNumberFormat="1" applyProtection="1"/>
    <xf numFmtId="3" fontId="15" fillId="0" borderId="0" xfId="791" applyNumberFormat="1" applyFont="1" applyFill="1" applyBorder="1" applyAlignment="1" applyProtection="1"/>
    <xf numFmtId="173" fontId="15" fillId="0" borderId="0" xfId="198" applyNumberFormat="1" applyFont="1" applyFill="1" applyBorder="1" applyAlignment="1" applyProtection="1"/>
    <xf numFmtId="38" fontId="7" fillId="0" borderId="0" xfId="0" applyNumberFormat="1" applyFont="1" applyFill="1" applyBorder="1" applyAlignment="1" applyProtection="1"/>
    <xf numFmtId="0" fontId="15" fillId="0" borderId="0" xfId="878" applyFont="1" applyFill="1" applyAlignment="1" applyProtection="1">
      <alignment horizontal="left"/>
    </xf>
    <xf numFmtId="0" fontId="81" fillId="0" borderId="0" xfId="878" applyFont="1" applyFill="1" applyBorder="1" applyProtection="1"/>
    <xf numFmtId="0" fontId="15" fillId="0" borderId="0" xfId="791" applyFont="1" applyFill="1" applyBorder="1" applyAlignment="1" applyProtection="1">
      <alignment horizontal="left"/>
    </xf>
    <xf numFmtId="3" fontId="87" fillId="27" borderId="0" xfId="0" applyNumberFormat="1" applyFont="1" applyFill="1" applyProtection="1"/>
    <xf numFmtId="37" fontId="15" fillId="0" borderId="0" xfId="791" applyNumberFormat="1" applyFont="1" applyBorder="1" applyProtection="1"/>
    <xf numFmtId="37" fontId="87" fillId="27" borderId="0" xfId="276" applyNumberFormat="1" applyFont="1" applyFill="1" applyProtection="1"/>
    <xf numFmtId="0" fontId="87" fillId="27" borderId="0" xfId="0" quotePrefix="1" applyFont="1" applyFill="1" applyAlignment="1" applyProtection="1">
      <alignment horizontal="left" wrapText="1"/>
    </xf>
    <xf numFmtId="3" fontId="87" fillId="27" borderId="0" xfId="0" quotePrefix="1" applyNumberFormat="1" applyFont="1" applyFill="1" applyProtection="1"/>
    <xf numFmtId="0" fontId="87" fillId="27" borderId="0" xfId="0" applyNumberFormat="1" applyFont="1" applyFill="1" applyAlignment="1" applyProtection="1">
      <alignment horizontal="left"/>
    </xf>
    <xf numFmtId="37" fontId="15" fillId="0" borderId="0" xfId="311" applyNumberFormat="1" applyFont="1" applyFill="1" applyProtection="1"/>
    <xf numFmtId="37" fontId="15" fillId="0" borderId="0" xfId="791" applyNumberFormat="1" applyFont="1" applyFill="1" applyBorder="1" applyProtection="1"/>
    <xf numFmtId="37" fontId="87" fillId="0" borderId="0" xfId="276" applyNumberFormat="1" applyFont="1" applyFill="1" applyProtection="1"/>
    <xf numFmtId="49" fontId="87" fillId="27" borderId="0" xfId="0" applyNumberFormat="1" applyFont="1" applyFill="1" applyProtection="1"/>
    <xf numFmtId="0" fontId="15" fillId="0" borderId="0" xfId="791" applyFont="1" applyBorder="1" applyProtection="1"/>
    <xf numFmtId="3" fontId="87"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58" fillId="27" borderId="0" xfId="0" applyNumberFormat="1" applyFont="1" applyFill="1" applyProtection="1"/>
    <xf numFmtId="37" fontId="99" fillId="0" borderId="0" xfId="311" applyNumberFormat="1" applyFont="1" applyFill="1" applyProtection="1"/>
    <xf numFmtId="3" fontId="86" fillId="0" borderId="0" xfId="0" applyNumberFormat="1" applyFont="1" applyFill="1" applyProtection="1"/>
    <xf numFmtId="173" fontId="86" fillId="0" borderId="0" xfId="275" applyNumberFormat="1" applyFont="1" applyFill="1" applyProtection="1"/>
    <xf numFmtId="37" fontId="86" fillId="0" borderId="0" xfId="275" applyNumberFormat="1" applyFont="1" applyFill="1" applyProtection="1"/>
    <xf numFmtId="37" fontId="86" fillId="0" borderId="0" xfId="791" applyNumberFormat="1" applyFont="1" applyFill="1" applyBorder="1" applyProtection="1"/>
    <xf numFmtId="0" fontId="86" fillId="0" borderId="0" xfId="0" applyFont="1" applyFill="1" applyProtection="1"/>
    <xf numFmtId="38" fontId="15" fillId="0" borderId="17" xfId="0" applyNumberFormat="1" applyFont="1" applyFill="1" applyBorder="1" applyProtection="1"/>
    <xf numFmtId="37" fontId="15" fillId="0" borderId="17" xfId="0" applyNumberFormat="1" applyFont="1" applyFill="1" applyBorder="1" applyProtection="1"/>
    <xf numFmtId="173" fontId="15" fillId="0" borderId="17" xfId="198" applyNumberFormat="1" applyFont="1" applyFill="1" applyBorder="1" applyProtection="1"/>
    <xf numFmtId="38" fontId="15" fillId="0" borderId="0" xfId="0" quotePrefix="1" applyNumberFormat="1" applyFont="1" applyFill="1" applyBorder="1" applyAlignment="1" applyProtection="1">
      <alignment horizontal="right"/>
    </xf>
    <xf numFmtId="37" fontId="15" fillId="0" borderId="0" xfId="0" applyNumberFormat="1" applyFont="1" applyFill="1" applyBorder="1" applyProtection="1"/>
    <xf numFmtId="0" fontId="7" fillId="0" borderId="0" xfId="791" applyNumberFormat="1" applyFont="1" applyFill="1" applyBorder="1" applyAlignment="1" applyProtection="1">
      <alignment horizontal="center" vertical="top"/>
    </xf>
    <xf numFmtId="0" fontId="7" fillId="0" borderId="0" xfId="791" applyFont="1" applyFill="1" applyBorder="1" applyProtection="1"/>
    <xf numFmtId="0" fontId="15" fillId="0" borderId="0" xfId="791" applyFont="1" applyFill="1" applyBorder="1" applyAlignment="1" applyProtection="1">
      <alignment horizontal="center"/>
    </xf>
    <xf numFmtId="0" fontId="20" fillId="0" borderId="0" xfId="0" applyFont="1" applyFill="1" applyAlignment="1" applyProtection="1">
      <alignment horizontal="center"/>
    </xf>
    <xf numFmtId="0" fontId="82" fillId="0" borderId="0" xfId="0" applyFont="1" applyFill="1" applyAlignment="1" applyProtection="1">
      <alignment horizontal="center"/>
    </xf>
    <xf numFmtId="0" fontId="15" fillId="0" borderId="0" xfId="0" quotePrefix="1" applyFont="1" applyFill="1" applyAlignment="1" applyProtection="1">
      <alignment horizontal="left"/>
    </xf>
    <xf numFmtId="0" fontId="16" fillId="0" borderId="0" xfId="0" quotePrefix="1" applyFont="1" applyFill="1" applyAlignment="1" applyProtection="1">
      <alignment horizontal="left"/>
    </xf>
    <xf numFmtId="173" fontId="15" fillId="0" borderId="11" xfId="0" applyNumberFormat="1" applyFont="1" applyFill="1" applyBorder="1" applyProtection="1"/>
    <xf numFmtId="173" fontId="15" fillId="0" borderId="14" xfId="0" applyNumberFormat="1" applyFont="1" applyFill="1" applyBorder="1" applyProtection="1"/>
    <xf numFmtId="174" fontId="15" fillId="0" borderId="0" xfId="198" applyNumberFormat="1" applyFont="1" applyFill="1" applyProtection="1"/>
    <xf numFmtId="174" fontId="15" fillId="0" borderId="0" xfId="0" applyNumberFormat="1" applyFont="1" applyFill="1" applyProtection="1"/>
    <xf numFmtId="0" fontId="12" fillId="0" borderId="0" xfId="0" quotePrefix="1" applyFont="1" applyFill="1" applyAlignment="1" applyProtection="1">
      <alignment horizontal="left"/>
    </xf>
    <xf numFmtId="0" fontId="9" fillId="0" borderId="0" xfId="0" applyFont="1" applyFill="1" applyProtection="1"/>
    <xf numFmtId="0" fontId="20" fillId="0" borderId="0" xfId="879" applyFont="1" applyAlignment="1" applyProtection="1">
      <alignment horizontal="center"/>
    </xf>
    <xf numFmtId="0" fontId="60" fillId="0" borderId="0" xfId="0" applyFont="1" applyFill="1" applyProtection="1"/>
    <xf numFmtId="0" fontId="15" fillId="0" borderId="0" xfId="0" applyFont="1" applyFill="1" applyAlignment="1" applyProtection="1">
      <alignment wrapText="1"/>
    </xf>
    <xf numFmtId="0" fontId="11" fillId="0" borderId="0" xfId="0" applyFont="1" applyFill="1" applyAlignment="1" applyProtection="1">
      <alignment horizontal="left"/>
    </xf>
    <xf numFmtId="0" fontId="20" fillId="0" borderId="0" xfId="0" quotePrefix="1" applyFont="1" applyFill="1" applyAlignment="1" applyProtection="1">
      <alignment horizontal="left"/>
    </xf>
    <xf numFmtId="3" fontId="15" fillId="0" borderId="0" xfId="881" applyNumberFormat="1" applyFont="1" applyFill="1" applyAlignment="1" applyProtection="1"/>
    <xf numFmtId="10" fontId="15" fillId="0" borderId="0" xfId="881" applyNumberFormat="1" applyFont="1" applyFill="1" applyAlignment="1" applyProtection="1"/>
    <xf numFmtId="167" fontId="15" fillId="0" borderId="0" xfId="881" applyNumberFormat="1" applyFont="1" applyFill="1" applyAlignment="1" applyProtection="1"/>
    <xf numFmtId="43" fontId="15" fillId="0" borderId="0" xfId="198" applyFont="1" applyFill="1" applyAlignment="1" applyProtection="1"/>
    <xf numFmtId="172" fontId="15" fillId="0" borderId="0" xfId="881" applyFont="1" applyFill="1" applyBorder="1" applyAlignment="1" applyProtection="1"/>
    <xf numFmtId="0" fontId="15" fillId="0" borderId="18" xfId="0" quotePrefix="1" applyFont="1" applyFill="1" applyBorder="1" applyAlignment="1" applyProtection="1">
      <alignment horizontal="left"/>
    </xf>
    <xf numFmtId="0" fontId="15" fillId="0" borderId="21" xfId="0" applyFont="1" applyFill="1" applyBorder="1" applyProtection="1"/>
    <xf numFmtId="0" fontId="12" fillId="0" borderId="0" xfId="0" applyFont="1" applyFill="1" applyBorder="1" applyProtection="1"/>
    <xf numFmtId="173" fontId="57" fillId="27" borderId="0" xfId="198" applyNumberFormat="1" applyFont="1" applyFill="1" applyBorder="1" applyProtection="1"/>
    <xf numFmtId="0" fontId="15" fillId="0" borderId="0" xfId="198" applyNumberFormat="1" applyFont="1" applyFill="1" applyAlignment="1" applyProtection="1"/>
    <xf numFmtId="0" fontId="119" fillId="0" borderId="32" xfId="0" quotePrefix="1" applyFont="1" applyFill="1" applyBorder="1" applyAlignment="1" applyProtection="1">
      <alignment horizontal="right"/>
    </xf>
    <xf numFmtId="0" fontId="15" fillId="0" borderId="20" xfId="0" applyFont="1" applyFill="1" applyBorder="1" applyProtection="1"/>
    <xf numFmtId="10" fontId="15" fillId="0" borderId="0" xfId="881" applyNumberFormat="1" applyFont="1" applyFill="1" applyAlignment="1" applyProtection="1">
      <alignment horizontal="right"/>
    </xf>
    <xf numFmtId="3" fontId="12" fillId="0" borderId="0" xfId="881" applyNumberFormat="1" applyFont="1" applyFill="1" applyAlignment="1" applyProtection="1"/>
    <xf numFmtId="172" fontId="15" fillId="0" borderId="0" xfId="881" applyFont="1" applyFill="1" applyAlignment="1" applyProtection="1"/>
    <xf numFmtId="10" fontId="15" fillId="0" borderId="0" xfId="0" applyNumberFormat="1" applyFont="1" applyFill="1" applyProtection="1"/>
    <xf numFmtId="0" fontId="15" fillId="0" borderId="0" xfId="0" applyNumberFormat="1" applyFont="1" applyFill="1" applyAlignment="1" applyProtection="1">
      <alignment horizontal="center"/>
    </xf>
    <xf numFmtId="0" fontId="15" fillId="0" borderId="0" xfId="881" quotePrefix="1" applyNumberFormat="1" applyFont="1" applyFill="1" applyBorder="1" applyAlignment="1" applyProtection="1">
      <alignment horizontal="left"/>
    </xf>
    <xf numFmtId="173" fontId="119" fillId="0" borderId="32" xfId="198" applyNumberFormat="1" applyFont="1" applyFill="1" applyBorder="1" applyProtection="1"/>
    <xf numFmtId="3" fontId="16" fillId="0" borderId="0" xfId="881" applyNumberFormat="1" applyFont="1" applyFill="1" applyAlignment="1" applyProtection="1">
      <alignment horizontal="center"/>
    </xf>
    <xf numFmtId="10" fontId="16" fillId="0" borderId="0" xfId="881" applyNumberFormat="1" applyFont="1" applyFill="1" applyAlignment="1" applyProtection="1">
      <alignment horizontal="center"/>
    </xf>
    <xf numFmtId="172" fontId="21" fillId="0" borderId="19" xfId="881" applyFont="1" applyFill="1" applyBorder="1" applyAlignment="1" applyProtection="1">
      <alignment horizontal="left" wrapText="1"/>
    </xf>
    <xf numFmtId="172" fontId="21" fillId="0" borderId="0" xfId="881" applyFont="1" applyFill="1" applyBorder="1" applyAlignment="1" applyProtection="1">
      <alignment horizontal="left" wrapText="1"/>
    </xf>
    <xf numFmtId="172" fontId="21" fillId="0" borderId="20" xfId="881" applyFont="1" applyFill="1" applyBorder="1" applyAlignment="1" applyProtection="1">
      <alignment horizontal="left" wrapText="1"/>
    </xf>
    <xf numFmtId="175" fontId="119" fillId="0" borderId="32" xfId="899" applyNumberFormat="1" applyFont="1" applyFill="1" applyBorder="1" applyProtection="1"/>
    <xf numFmtId="0" fontId="15" fillId="0" borderId="22" xfId="0" applyFont="1" applyFill="1" applyBorder="1" applyProtection="1"/>
    <xf numFmtId="0" fontId="15" fillId="0" borderId="0" xfId="881" applyNumberFormat="1" applyFont="1" applyFill="1" applyBorder="1" applyAlignment="1" applyProtection="1">
      <alignment horizontal="right"/>
    </xf>
    <xf numFmtId="10" fontId="15" fillId="0" borderId="0" xfId="0" applyNumberFormat="1" applyFont="1" applyFill="1" applyAlignment="1" applyProtection="1">
      <alignment horizontal="center"/>
    </xf>
    <xf numFmtId="10" fontId="15" fillId="0" borderId="0" xfId="899" applyNumberFormat="1" applyFont="1" applyFill="1" applyAlignment="1" applyProtection="1">
      <alignment horizontal="center"/>
    </xf>
    <xf numFmtId="10" fontId="15" fillId="0" borderId="0" xfId="899" applyNumberFormat="1" applyFont="1" applyFill="1" applyAlignment="1" applyProtection="1"/>
    <xf numFmtId="169" fontId="15" fillId="0" borderId="0" xfId="881" applyNumberFormat="1" applyFont="1" applyFill="1" applyAlignment="1" applyProtection="1"/>
    <xf numFmtId="0" fontId="15" fillId="0" borderId="19" xfId="0" applyFont="1" applyFill="1" applyBorder="1" applyAlignment="1" applyProtection="1">
      <alignment wrapText="1"/>
    </xf>
    <xf numFmtId="0" fontId="15" fillId="0" borderId="0" xfId="0" applyFont="1" applyFill="1" applyBorder="1" applyAlignment="1" applyProtection="1">
      <alignment wrapText="1"/>
    </xf>
    <xf numFmtId="0" fontId="15" fillId="0" borderId="20" xfId="0" applyFont="1" applyFill="1" applyBorder="1" applyAlignment="1" applyProtection="1">
      <alignment wrapText="1"/>
    </xf>
    <xf numFmtId="166" fontId="15" fillId="0" borderId="0" xfId="881" applyNumberFormat="1" applyFont="1" applyFill="1" applyBorder="1" applyAlignment="1" applyProtection="1">
      <alignment horizontal="center"/>
    </xf>
    <xf numFmtId="41" fontId="15" fillId="0" borderId="0" xfId="881" applyNumberFormat="1" applyFont="1" applyFill="1" applyAlignment="1" applyProtection="1"/>
    <xf numFmtId="172" fontId="15" fillId="0" borderId="19" xfId="881" applyFont="1" applyFill="1" applyBorder="1" applyAlignment="1" applyProtection="1"/>
    <xf numFmtId="0" fontId="15" fillId="0" borderId="0" xfId="881" applyNumberFormat="1" applyFont="1" applyFill="1" applyBorder="1" applyAlignment="1" applyProtection="1">
      <alignment horizontal="center"/>
    </xf>
    <xf numFmtId="3" fontId="15" fillId="0" borderId="20" xfId="881" applyNumberFormat="1" applyFont="1" applyFill="1" applyBorder="1" applyAlignment="1" applyProtection="1"/>
    <xf numFmtId="41" fontId="15" fillId="0" borderId="0" xfId="881" applyNumberFormat="1" applyFont="1" applyFill="1" applyBorder="1" applyAlignment="1" applyProtection="1">
      <alignment horizontal="center"/>
    </xf>
    <xf numFmtId="10" fontId="16" fillId="0" borderId="0" xfId="899" applyNumberFormat="1" applyFont="1" applyFill="1" applyAlignment="1" applyProtection="1"/>
    <xf numFmtId="169" fontId="16" fillId="0" borderId="0" xfId="881" applyNumberFormat="1" applyFont="1" applyFill="1" applyAlignment="1" applyProtection="1"/>
    <xf numFmtId="0" fontId="15" fillId="0" borderId="19" xfId="0" applyFont="1" applyFill="1" applyBorder="1" applyProtection="1"/>
    <xf numFmtId="3" fontId="15" fillId="0" borderId="0" xfId="881" applyNumberFormat="1" applyFont="1" applyFill="1" applyAlignment="1" applyProtection="1">
      <alignment horizontal="right"/>
    </xf>
    <xf numFmtId="178" fontId="15" fillId="0" borderId="0" xfId="881" applyNumberFormat="1" applyFont="1" applyFill="1" applyAlignment="1" applyProtection="1"/>
    <xf numFmtId="166" fontId="15" fillId="0" borderId="34" xfId="881" applyNumberFormat="1" applyFont="1" applyFill="1" applyBorder="1" applyAlignment="1" applyProtection="1">
      <alignment horizontal="left"/>
    </xf>
    <xf numFmtId="0" fontId="15" fillId="0" borderId="6" xfId="881" applyNumberFormat="1" applyFont="1" applyFill="1" applyBorder="1" applyAlignment="1" applyProtection="1">
      <alignment horizontal="center"/>
    </xf>
    <xf numFmtId="173" fontId="15" fillId="0" borderId="6" xfId="881" applyNumberFormat="1" applyFont="1" applyFill="1" applyBorder="1" applyAlignment="1" applyProtection="1">
      <alignment horizontal="center"/>
    </xf>
    <xf numFmtId="174" fontId="15" fillId="0" borderId="27" xfId="0" applyNumberFormat="1" applyFont="1" applyFill="1" applyBorder="1" applyProtection="1"/>
    <xf numFmtId="0" fontId="15" fillId="0" borderId="23" xfId="0" applyFont="1" applyFill="1" applyBorder="1" applyProtection="1"/>
    <xf numFmtId="10" fontId="15" fillId="0" borderId="0" xfId="881" applyNumberFormat="1" applyFont="1" applyFill="1" applyAlignment="1" applyProtection="1">
      <alignment horizontal="left"/>
    </xf>
    <xf numFmtId="0" fontId="127" fillId="0" borderId="0" xfId="0" applyFont="1" applyFill="1" applyProtection="1"/>
    <xf numFmtId="41" fontId="15" fillId="0" borderId="0" xfId="881" applyNumberFormat="1" applyFont="1" applyFill="1" applyBorder="1" applyAlignment="1" applyProtection="1"/>
    <xf numFmtId="41" fontId="119" fillId="0" borderId="32" xfId="0" applyNumberFormat="1" applyFont="1" applyFill="1" applyBorder="1" applyProtection="1"/>
    <xf numFmtId="3" fontId="15" fillId="0" borderId="24" xfId="0" applyNumberFormat="1" applyFont="1" applyFill="1" applyBorder="1" applyProtection="1"/>
    <xf numFmtId="0" fontId="128" fillId="0" borderId="0" xfId="0" applyFont="1" applyFill="1" applyProtection="1"/>
    <xf numFmtId="10" fontId="119" fillId="0" borderId="19" xfId="0" applyNumberFormat="1" applyFont="1" applyFill="1" applyBorder="1" applyProtection="1"/>
    <xf numFmtId="41" fontId="119" fillId="0" borderId="19" xfId="0" applyNumberFormat="1" applyFont="1" applyFill="1" applyBorder="1" applyProtection="1"/>
    <xf numFmtId="41" fontId="15" fillId="0" borderId="0" xfId="881" quotePrefix="1" applyNumberFormat="1" applyFont="1" applyFill="1" applyBorder="1" applyAlignment="1" applyProtection="1"/>
    <xf numFmtId="41" fontId="15" fillId="0" borderId="0" xfId="881" applyNumberFormat="1" applyFont="1" applyFill="1" applyBorder="1" applyAlignment="1" applyProtection="1">
      <alignment horizontal="right"/>
    </xf>
    <xf numFmtId="177" fontId="15" fillId="0" borderId="11" xfId="881" applyNumberFormat="1" applyFont="1" applyFill="1" applyBorder="1" applyAlignment="1" applyProtection="1"/>
    <xf numFmtId="164" fontId="15" fillId="0" borderId="0" xfId="881" applyNumberFormat="1" applyFont="1" applyFill="1" applyBorder="1" applyAlignment="1" applyProtection="1">
      <alignment horizontal="left"/>
    </xf>
    <xf numFmtId="41" fontId="15" fillId="0" borderId="0" xfId="881" applyNumberFormat="1" applyFont="1" applyFill="1" applyAlignment="1" applyProtection="1">
      <alignment horizontal="center"/>
    </xf>
    <xf numFmtId="41" fontId="14" fillId="0" borderId="0" xfId="881" quotePrefix="1" applyNumberFormat="1" applyFont="1" applyFill="1" applyBorder="1" applyAlignment="1" applyProtection="1">
      <alignment horizontal="right" vertical="center"/>
    </xf>
    <xf numFmtId="41" fontId="14" fillId="0" borderId="0" xfId="881" quotePrefix="1" applyNumberFormat="1" applyFont="1" applyFill="1" applyBorder="1" applyAlignment="1" applyProtection="1">
      <alignment horizontal="left" vertical="center"/>
    </xf>
    <xf numFmtId="41" fontId="82" fillId="0" borderId="0" xfId="881" applyNumberFormat="1" applyFont="1" applyFill="1" applyBorder="1" applyAlignment="1" applyProtection="1">
      <alignment horizontal="center" vertical="center"/>
    </xf>
    <xf numFmtId="41" fontId="80" fillId="0" borderId="0" xfId="881" applyNumberFormat="1" applyFont="1" applyFill="1" applyBorder="1" applyAlignment="1" applyProtection="1"/>
    <xf numFmtId="3" fontId="15" fillId="0" borderId="0" xfId="881" applyNumberFormat="1" applyFont="1" applyFill="1" applyAlignment="1" applyProtection="1">
      <alignment vertical="center" wrapText="1"/>
    </xf>
    <xf numFmtId="41" fontId="15" fillId="0" borderId="0" xfId="881" applyNumberFormat="1" applyFont="1" applyFill="1" applyBorder="1" applyAlignment="1" applyProtection="1">
      <alignment vertical="center"/>
    </xf>
    <xf numFmtId="41" fontId="9" fillId="0" borderId="0" xfId="881" quotePrefix="1" applyNumberFormat="1" applyFont="1" applyFill="1" applyBorder="1" applyAlignment="1" applyProtection="1">
      <alignment horizontal="left"/>
    </xf>
    <xf numFmtId="41" fontId="82" fillId="0" borderId="0" xfId="881" applyNumberFormat="1" applyFont="1" applyFill="1" applyBorder="1" applyAlignment="1" applyProtection="1">
      <alignment horizontal="center"/>
    </xf>
    <xf numFmtId="41" fontId="15" fillId="0" borderId="0" xfId="881" applyNumberFormat="1" applyFont="1" applyFill="1" applyBorder="1" applyAlignment="1" applyProtection="1">
      <alignment horizontal="center" vertical="center"/>
    </xf>
    <xf numFmtId="41" fontId="15" fillId="0" borderId="0" xfId="881" applyNumberFormat="1" applyFont="1" applyFill="1" applyAlignment="1" applyProtection="1">
      <alignment horizontal="right"/>
    </xf>
    <xf numFmtId="10" fontId="15" fillId="0" borderId="0" xfId="0" applyNumberFormat="1" applyFont="1" applyFill="1" applyBorder="1" applyProtection="1"/>
    <xf numFmtId="41" fontId="15" fillId="0" borderId="0" xfId="0" applyNumberFormat="1" applyFont="1" applyFill="1" applyProtection="1"/>
    <xf numFmtId="10" fontId="119" fillId="0" borderId="0" xfId="899" applyNumberFormat="1" applyFont="1" applyFill="1" applyBorder="1" applyProtection="1"/>
    <xf numFmtId="0" fontId="15" fillId="0" borderId="50" xfId="0" applyFont="1" applyFill="1" applyBorder="1" applyProtection="1"/>
    <xf numFmtId="0" fontId="15" fillId="0" borderId="0" xfId="0" applyFont="1" applyFill="1" applyBorder="1" applyAlignment="1" applyProtection="1"/>
    <xf numFmtId="173" fontId="119" fillId="0" borderId="0" xfId="0" applyNumberFormat="1" applyFont="1" applyFill="1" applyBorder="1" applyProtection="1"/>
    <xf numFmtId="0" fontId="15" fillId="0" borderId="48" xfId="0" applyFont="1" applyFill="1" applyBorder="1" applyProtection="1"/>
    <xf numFmtId="41" fontId="15" fillId="0" borderId="2" xfId="881" applyNumberFormat="1" applyFont="1" applyFill="1" applyBorder="1" applyAlignment="1" applyProtection="1"/>
    <xf numFmtId="3" fontId="15" fillId="0" borderId="0" xfId="881" applyNumberFormat="1" applyFont="1" applyFill="1" applyBorder="1" applyAlignment="1" applyProtection="1"/>
    <xf numFmtId="0" fontId="20" fillId="0" borderId="0" xfId="775" quotePrefix="1" applyFont="1" applyAlignment="1" applyProtection="1">
      <alignment horizontal="left"/>
    </xf>
    <xf numFmtId="0" fontId="12" fillId="0" borderId="0" xfId="775" applyFont="1" applyProtection="1"/>
    <xf numFmtId="0" fontId="15" fillId="0" borderId="0" xfId="881" applyNumberFormat="1" applyFont="1" applyFill="1" applyBorder="1" applyProtection="1"/>
    <xf numFmtId="0" fontId="12" fillId="0" borderId="0" xfId="775" quotePrefix="1" applyFont="1" applyAlignment="1" applyProtection="1">
      <alignment horizontal="left"/>
    </xf>
    <xf numFmtId="0" fontId="15" fillId="0" borderId="0" xfId="775" applyFont="1" applyProtection="1"/>
    <xf numFmtId="3" fontId="15" fillId="0" borderId="0" xfId="881" applyNumberFormat="1" applyFont="1" applyFill="1" applyBorder="1" applyAlignment="1" applyProtection="1">
      <alignment horizontal="center"/>
    </xf>
    <xf numFmtId="173" fontId="87" fillId="0" borderId="38" xfId="0" applyNumberFormat="1" applyFont="1" applyBorder="1" applyProtection="1"/>
    <xf numFmtId="41" fontId="15" fillId="0" borderId="11" xfId="881" applyNumberFormat="1" applyFont="1" applyFill="1" applyBorder="1" applyAlignment="1" applyProtection="1"/>
    <xf numFmtId="173" fontId="87" fillId="0" borderId="28" xfId="0" applyNumberFormat="1" applyFont="1" applyBorder="1" applyProtection="1"/>
    <xf numFmtId="174" fontId="87" fillId="0" borderId="39" xfId="0" applyNumberFormat="1" applyFont="1" applyBorder="1" applyProtection="1"/>
    <xf numFmtId="10" fontId="15" fillId="0" borderId="0" xfId="881" applyNumberFormat="1" applyFont="1" applyFill="1" applyBorder="1" applyAlignment="1" applyProtection="1"/>
    <xf numFmtId="169" fontId="15" fillId="0" borderId="0" xfId="881" applyNumberFormat="1" applyFont="1" applyFill="1" applyBorder="1" applyAlignment="1" applyProtection="1"/>
    <xf numFmtId="169" fontId="12" fillId="0" borderId="0" xfId="881"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41" fontId="16" fillId="0" borderId="11" xfId="881" applyNumberFormat="1" applyFont="1" applyFill="1" applyBorder="1" applyAlignment="1" applyProtection="1"/>
    <xf numFmtId="41" fontId="16" fillId="0" borderId="0" xfId="881" applyNumberFormat="1" applyFont="1" applyFill="1" applyBorder="1" applyAlignment="1" applyProtection="1"/>
    <xf numFmtId="41" fontId="15" fillId="0" borderId="11" xfId="0" applyNumberFormat="1" applyFont="1" applyFill="1" applyBorder="1" applyProtection="1"/>
    <xf numFmtId="41" fontId="16" fillId="0" borderId="0" xfId="0" applyNumberFormat="1" applyFont="1" applyFill="1" applyProtection="1"/>
    <xf numFmtId="10" fontId="15" fillId="0" borderId="11" xfId="0" applyNumberFormat="1" applyFont="1" applyFill="1" applyBorder="1" applyProtection="1"/>
    <xf numFmtId="9" fontId="15" fillId="27" borderId="0" xfId="899" applyFont="1" applyFill="1" applyAlignment="1" applyProtection="1">
      <alignment horizontal="right"/>
    </xf>
    <xf numFmtId="9" fontId="15" fillId="0" borderId="0" xfId="899" applyFont="1" applyFill="1" applyBorder="1" applyProtection="1"/>
    <xf numFmtId="173" fontId="15" fillId="0" borderId="11" xfId="198" applyNumberFormat="1" applyFont="1" applyFill="1" applyBorder="1" applyAlignment="1" applyProtection="1"/>
    <xf numFmtId="41" fontId="70" fillId="0" borderId="0" xfId="0" applyNumberFormat="1" applyFont="1" applyFill="1" applyProtection="1"/>
    <xf numFmtId="10" fontId="16" fillId="0" borderId="0" xfId="0" applyNumberFormat="1" applyFont="1" applyFill="1" applyProtection="1"/>
    <xf numFmtId="164" fontId="15" fillId="0" borderId="0" xfId="899" applyNumberFormat="1" applyFont="1" applyFill="1" applyProtection="1"/>
    <xf numFmtId="43" fontId="15" fillId="0" borderId="0" xfId="198" applyNumberFormat="1" applyFont="1" applyFill="1" applyProtection="1"/>
    <xf numFmtId="0" fontId="14" fillId="0" borderId="0" xfId="0" quotePrefix="1" applyFont="1" applyAlignment="1" applyProtection="1">
      <alignment horizontal="left"/>
    </xf>
    <xf numFmtId="0" fontId="15" fillId="0" borderId="0" xfId="0" applyFont="1" applyAlignment="1" applyProtection="1">
      <alignment horizontal="center"/>
    </xf>
    <xf numFmtId="10" fontId="15" fillId="0" borderId="0" xfId="0" applyNumberFormat="1" applyFont="1" applyProtection="1"/>
    <xf numFmtId="173" fontId="15" fillId="0" borderId="0" xfId="275" applyNumberFormat="1" applyFont="1" applyProtection="1"/>
    <xf numFmtId="0" fontId="15" fillId="0" borderId="0" xfId="0" applyFont="1" applyBorder="1" applyProtection="1"/>
    <xf numFmtId="0" fontId="21" fillId="0" borderId="0" xfId="0" applyFont="1" applyAlignment="1" applyProtection="1">
      <alignment horizontal="right"/>
    </xf>
    <xf numFmtId="0" fontId="21" fillId="0" borderId="0" xfId="0" applyFont="1" applyFill="1" applyAlignment="1" applyProtection="1">
      <alignment horizontal="right"/>
    </xf>
    <xf numFmtId="0" fontId="21" fillId="0" borderId="0" xfId="0" quotePrefix="1" applyFont="1" applyAlignment="1" applyProtection="1">
      <alignment horizontal="right"/>
    </xf>
    <xf numFmtId="173" fontId="15" fillId="0" borderId="0" xfId="275" applyNumberFormat="1" applyFont="1" applyBorder="1" applyProtection="1"/>
    <xf numFmtId="0" fontId="88" fillId="0" borderId="0" xfId="0" applyFont="1" applyProtection="1"/>
    <xf numFmtId="0" fontId="12" fillId="0" borderId="0" xfId="0" applyFont="1" applyAlignment="1" applyProtection="1">
      <alignment horizontal="left"/>
    </xf>
    <xf numFmtId="0" fontId="10" fillId="27" borderId="0" xfId="275" applyNumberFormat="1" applyFont="1" applyFill="1" applyAlignment="1" applyProtection="1">
      <alignment horizontal="left"/>
    </xf>
    <xf numFmtId="0" fontId="82" fillId="0" borderId="0" xfId="0" applyFont="1" applyProtection="1"/>
    <xf numFmtId="0" fontId="12" fillId="0" borderId="43" xfId="0" applyFont="1" applyBorder="1" applyProtection="1"/>
    <xf numFmtId="0" fontId="12" fillId="0" borderId="17" xfId="0" applyFont="1" applyBorder="1" applyProtection="1"/>
    <xf numFmtId="0" fontId="15" fillId="0" borderId="17" xfId="0" applyFont="1" applyBorder="1" applyProtection="1"/>
    <xf numFmtId="173" fontId="12" fillId="0" borderId="21" xfId="275" applyNumberFormat="1" applyFont="1" applyBorder="1" applyProtection="1"/>
    <xf numFmtId="0" fontId="11" fillId="0" borderId="0" xfId="0" applyFont="1" applyAlignment="1" applyProtection="1">
      <alignment horizontal="left"/>
    </xf>
    <xf numFmtId="0" fontId="10" fillId="0" borderId="0" xfId="275" applyNumberFormat="1" applyFont="1" applyFill="1" applyAlignment="1" applyProtection="1">
      <alignment horizontal="left"/>
    </xf>
    <xf numFmtId="0" fontId="10" fillId="0" borderId="0" xfId="275" applyNumberFormat="1" applyFont="1" applyFill="1" applyBorder="1" applyAlignment="1" applyProtection="1">
      <alignment horizontal="left"/>
    </xf>
    <xf numFmtId="0" fontId="12" fillId="0" borderId="19" xfId="0" applyFont="1" applyBorder="1" applyProtection="1"/>
    <xf numFmtId="0" fontId="11" fillId="0" borderId="0" xfId="275" applyNumberFormat="1" applyFont="1" applyFill="1" applyBorder="1" applyAlignment="1" applyProtection="1">
      <alignment horizontal="left"/>
    </xf>
    <xf numFmtId="173" fontId="12" fillId="0" borderId="25" xfId="275" applyNumberFormat="1" applyFont="1" applyBorder="1" applyProtection="1"/>
    <xf numFmtId="0" fontId="12" fillId="27" borderId="0" xfId="0" applyFont="1" applyFill="1" applyAlignment="1" applyProtection="1">
      <alignment horizontal="left"/>
    </xf>
    <xf numFmtId="173" fontId="12" fillId="0" borderId="34" xfId="275" applyNumberFormat="1" applyFont="1" applyBorder="1" applyProtection="1"/>
    <xf numFmtId="173" fontId="15" fillId="0" borderId="6" xfId="275" applyNumberFormat="1" applyFont="1" applyBorder="1" applyProtection="1"/>
    <xf numFmtId="173" fontId="15" fillId="0" borderId="27" xfId="275" applyNumberFormat="1" applyFont="1" applyBorder="1" applyProtection="1"/>
    <xf numFmtId="0" fontId="12" fillId="0" borderId="0" xfId="0" applyFont="1" applyFill="1" applyAlignment="1" applyProtection="1"/>
    <xf numFmtId="0" fontId="12" fillId="0" borderId="35" xfId="0" applyFont="1" applyFill="1" applyBorder="1" applyAlignment="1" applyProtection="1">
      <alignment horizontal="center"/>
    </xf>
    <xf numFmtId="0" fontId="12" fillId="28" borderId="36" xfId="0" applyFont="1" applyFill="1" applyBorder="1" applyAlignment="1" applyProtection="1">
      <alignment horizontal="center"/>
    </xf>
    <xf numFmtId="0" fontId="15" fillId="0" borderId="36" xfId="0" applyFont="1" applyFill="1" applyBorder="1" applyAlignment="1" applyProtection="1">
      <alignment horizontal="left"/>
    </xf>
    <xf numFmtId="0" fontId="12" fillId="0" borderId="36" xfId="0" applyFont="1" applyFill="1" applyBorder="1" applyAlignment="1" applyProtection="1">
      <alignment horizontal="center"/>
    </xf>
    <xf numFmtId="0" fontId="12" fillId="0" borderId="37"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Border="1" applyAlignment="1" applyProtection="1"/>
    <xf numFmtId="0" fontId="15" fillId="0" borderId="19" xfId="0" quotePrefix="1" applyFont="1" applyFill="1" applyBorder="1" applyAlignment="1" applyProtection="1">
      <alignment horizontal="left"/>
    </xf>
    <xf numFmtId="173" fontId="15" fillId="27" borderId="20" xfId="275" applyNumberFormat="1" applyFont="1" applyFill="1" applyBorder="1" applyAlignment="1" applyProtection="1">
      <alignment horizontal="right"/>
    </xf>
    <xf numFmtId="0" fontId="15" fillId="0" borderId="0" xfId="0" applyFont="1" applyBorder="1" applyAlignment="1" applyProtection="1">
      <alignment horizontal="center"/>
    </xf>
    <xf numFmtId="0" fontId="12" fillId="0" borderId="21" xfId="0" applyFont="1" applyFill="1" applyBorder="1" applyAlignment="1" applyProtection="1">
      <alignment horizontal="center"/>
    </xf>
    <xf numFmtId="0" fontId="15" fillId="27" borderId="20" xfId="0" applyFont="1" applyFill="1" applyBorder="1" applyAlignment="1" applyProtection="1">
      <alignment horizontal="right"/>
    </xf>
    <xf numFmtId="173" fontId="15" fillId="0" borderId="20" xfId="0" applyNumberFormat="1" applyFont="1" applyFill="1" applyBorder="1" applyAlignment="1" applyProtection="1">
      <alignment horizontal="right"/>
    </xf>
    <xf numFmtId="173" fontId="15" fillId="0" borderId="0" xfId="0" applyNumberFormat="1" applyFont="1" applyFill="1" applyBorder="1" applyAlignment="1" applyProtection="1">
      <alignment horizontal="right"/>
    </xf>
    <xf numFmtId="10" fontId="15" fillId="0" borderId="20" xfId="0" applyNumberFormat="1" applyFont="1" applyBorder="1" applyProtection="1"/>
    <xf numFmtId="10" fontId="15" fillId="0" borderId="0" xfId="0" applyNumberFormat="1" applyFont="1" applyBorder="1" applyProtection="1"/>
    <xf numFmtId="173" fontId="15" fillId="0" borderId="20" xfId="275" applyNumberFormat="1" applyFont="1" applyBorder="1" applyProtection="1"/>
    <xf numFmtId="0" fontId="12" fillId="0" borderId="38" xfId="0" applyFont="1" applyBorder="1" applyAlignment="1" applyProtection="1">
      <alignment horizontal="center"/>
    </xf>
    <xf numFmtId="173" fontId="12" fillId="0" borderId="38" xfId="275" applyNumberFormat="1" applyFont="1" applyBorder="1" applyAlignment="1" applyProtection="1">
      <alignment horizontal="center"/>
    </xf>
    <xf numFmtId="173" fontId="12" fillId="0" borderId="21" xfId="275" quotePrefix="1" applyNumberFormat="1" applyFont="1" applyFill="1" applyBorder="1" applyAlignment="1" applyProtection="1">
      <alignment horizontal="center" wrapText="1"/>
    </xf>
    <xf numFmtId="173" fontId="12" fillId="0" borderId="21" xfId="275" quotePrefix="1" applyNumberFormat="1" applyFont="1" applyBorder="1" applyAlignment="1" applyProtection="1">
      <alignment horizontal="center" wrapText="1"/>
    </xf>
    <xf numFmtId="0" fontId="12" fillId="0" borderId="28" xfId="0" applyFont="1" applyBorder="1" applyAlignment="1" applyProtection="1">
      <alignment horizontal="center"/>
    </xf>
    <xf numFmtId="173" fontId="12" fillId="0" borderId="38" xfId="275" quotePrefix="1" applyNumberFormat="1" applyFont="1" applyBorder="1" applyAlignment="1" applyProtection="1">
      <alignment horizontal="center" wrapText="1"/>
    </xf>
    <xf numFmtId="173" fontId="12" fillId="0" borderId="38" xfId="275" applyNumberFormat="1" applyFont="1" applyFill="1" applyBorder="1" applyAlignment="1" applyProtection="1">
      <alignment horizontal="center" wrapText="1"/>
    </xf>
    <xf numFmtId="173" fontId="12" fillId="0" borderId="38" xfId="275" applyNumberFormat="1" applyFont="1" applyBorder="1" applyAlignment="1" applyProtection="1">
      <alignment horizontal="center" wrapText="1"/>
    </xf>
    <xf numFmtId="0" fontId="12" fillId="0" borderId="39" xfId="0" applyFont="1" applyBorder="1" applyAlignment="1" applyProtection="1">
      <alignment horizontal="center" wrapText="1"/>
    </xf>
    <xf numFmtId="0" fontId="12" fillId="0" borderId="39" xfId="0" applyFont="1" applyBorder="1" applyAlignment="1" applyProtection="1">
      <alignment horizontal="center"/>
    </xf>
    <xf numFmtId="173" fontId="12" fillId="0" borderId="27" xfId="275" applyNumberFormat="1" applyFont="1" applyFill="1" applyBorder="1" applyAlignment="1" applyProtection="1">
      <alignment horizontal="center"/>
    </xf>
    <xf numFmtId="173" fontId="12" fillId="0" borderId="27" xfId="275" applyNumberFormat="1" applyFont="1" applyBorder="1" applyAlignment="1" applyProtection="1">
      <alignment horizontal="center"/>
    </xf>
    <xf numFmtId="0" fontId="12" fillId="0" borderId="39" xfId="0" applyFont="1" applyFill="1" applyBorder="1" applyAlignment="1" applyProtection="1">
      <alignment horizontal="center"/>
    </xf>
    <xf numFmtId="0" fontId="12" fillId="0" borderId="28" xfId="0" applyFont="1" applyFill="1" applyBorder="1" applyAlignment="1" applyProtection="1">
      <alignment horizontal="center"/>
    </xf>
    <xf numFmtId="173" fontId="12" fillId="0" borderId="39" xfId="275" applyNumberFormat="1" applyFont="1" applyBorder="1" applyAlignment="1" applyProtection="1">
      <alignment horizontal="center"/>
    </xf>
    <xf numFmtId="173" fontId="12" fillId="0" borderId="39" xfId="275" applyNumberFormat="1" applyFont="1" applyFill="1" applyBorder="1" applyAlignment="1" applyProtection="1">
      <alignment horizontal="center"/>
    </xf>
    <xf numFmtId="173" fontId="12" fillId="0" borderId="34" xfId="275" applyNumberFormat="1" applyFont="1" applyFill="1" applyBorder="1" applyAlignment="1" applyProtection="1">
      <alignment horizontal="center"/>
    </xf>
    <xf numFmtId="0" fontId="15" fillId="0" borderId="28" xfId="0" applyNumberFormat="1" applyFont="1" applyBorder="1" applyAlignment="1" applyProtection="1">
      <alignment horizontal="center"/>
    </xf>
    <xf numFmtId="173" fontId="15" fillId="0" borderId="0" xfId="0" applyNumberFormat="1" applyFont="1" applyBorder="1" applyProtection="1"/>
    <xf numFmtId="173" fontId="15" fillId="0" borderId="38" xfId="275" applyNumberFormat="1" applyFont="1" applyBorder="1" applyProtection="1"/>
    <xf numFmtId="174" fontId="15" fillId="0" borderId="20" xfId="0" applyNumberFormat="1" applyFont="1" applyBorder="1" applyProtection="1"/>
    <xf numFmtId="174" fontId="15" fillId="0" borderId="38" xfId="0" applyNumberFormat="1" applyFont="1" applyFill="1" applyBorder="1" applyProtection="1"/>
    <xf numFmtId="174" fontId="15" fillId="0" borderId="38" xfId="0" applyNumberFormat="1" applyFont="1" applyBorder="1" applyProtection="1"/>
    <xf numFmtId="174" fontId="15" fillId="0" borderId="28" xfId="0" applyNumberFormat="1" applyFont="1" applyBorder="1" applyProtection="1"/>
    <xf numFmtId="173" fontId="15" fillId="0" borderId="28" xfId="0" applyNumberFormat="1" applyFont="1" applyBorder="1" applyProtection="1"/>
    <xf numFmtId="173" fontId="15" fillId="0" borderId="28" xfId="275" applyNumberFormat="1" applyFont="1" applyBorder="1" applyProtection="1"/>
    <xf numFmtId="174" fontId="15" fillId="27" borderId="28" xfId="0" applyNumberFormat="1" applyFont="1" applyFill="1" applyBorder="1" applyProtection="1"/>
    <xf numFmtId="173" fontId="15" fillId="0" borderId="28" xfId="0" applyNumberFormat="1" applyFont="1" applyFill="1" applyBorder="1" applyProtection="1"/>
    <xf numFmtId="173" fontId="15" fillId="0" borderId="28" xfId="275" applyNumberFormat="1" applyFont="1" applyFill="1" applyBorder="1" applyProtection="1"/>
    <xf numFmtId="0" fontId="15" fillId="0" borderId="39" xfId="0" applyNumberFormat="1" applyFont="1" applyBorder="1" applyAlignment="1" applyProtection="1">
      <alignment horizontal="center"/>
    </xf>
    <xf numFmtId="173" fontId="15" fillId="0" borderId="39" xfId="0" applyNumberFormat="1" applyFont="1" applyBorder="1" applyProtection="1"/>
    <xf numFmtId="173" fontId="15" fillId="0" borderId="39" xfId="275" applyNumberFormat="1" applyFont="1" applyBorder="1" applyProtection="1"/>
    <xf numFmtId="173" fontId="15" fillId="0" borderId="39" xfId="275" applyNumberFormat="1" applyFont="1" applyFill="1" applyBorder="1" applyProtection="1"/>
    <xf numFmtId="174" fontId="15" fillId="0" borderId="27" xfId="0" applyNumberFormat="1" applyFont="1" applyBorder="1" applyProtection="1"/>
    <xf numFmtId="174" fontId="15" fillId="27" borderId="39" xfId="0" applyNumberFormat="1" applyFont="1" applyFill="1" applyBorder="1" applyProtection="1"/>
    <xf numFmtId="174" fontId="15" fillId="0" borderId="39" xfId="0" applyNumberFormat="1" applyFont="1" applyBorder="1" applyProtection="1"/>
    <xf numFmtId="174" fontId="15" fillId="0" borderId="0" xfId="0" applyNumberFormat="1" applyFont="1" applyBorder="1" applyProtection="1"/>
    <xf numFmtId="173" fontId="15" fillId="0" borderId="0" xfId="0" applyNumberFormat="1" applyFont="1" applyProtection="1"/>
    <xf numFmtId="0" fontId="15" fillId="0" borderId="0" xfId="0" applyFont="1" applyAlignment="1" applyProtection="1">
      <alignment horizontal="left"/>
    </xf>
    <xf numFmtId="0" fontId="21" fillId="0" borderId="0" xfId="0" quotePrefix="1" applyFont="1" applyAlignment="1" applyProtection="1">
      <alignment horizontal="center"/>
    </xf>
    <xf numFmtId="0" fontId="21" fillId="0" borderId="0" xfId="0" applyFont="1" applyFill="1" applyAlignment="1" applyProtection="1">
      <alignment horizontal="center"/>
    </xf>
    <xf numFmtId="0" fontId="21" fillId="0" borderId="0" xfId="791" applyFont="1" applyFill="1" applyBorder="1" applyAlignment="1" applyProtection="1">
      <alignment horizontal="center"/>
    </xf>
    <xf numFmtId="3" fontId="9" fillId="0" borderId="0" xfId="0" applyNumberFormat="1" applyFont="1" applyFill="1" applyAlignment="1" applyProtection="1">
      <alignment horizontal="center"/>
    </xf>
    <xf numFmtId="10" fontId="119" fillId="0" borderId="32" xfId="0" applyNumberFormat="1" applyFont="1" applyFill="1" applyBorder="1" applyProtection="1"/>
    <xf numFmtId="1" fontId="15" fillId="26" borderId="0" xfId="881" applyNumberFormat="1" applyFont="1" applyFill="1" applyBorder="1" applyAlignment="1" applyProtection="1">
      <alignment horizontal="center"/>
    </xf>
    <xf numFmtId="167" fontId="119" fillId="0" borderId="32" xfId="0" applyNumberFormat="1" applyFont="1" applyFill="1" applyBorder="1" applyProtection="1"/>
    <xf numFmtId="41" fontId="15" fillId="0" borderId="19" xfId="881" quotePrefix="1" applyNumberFormat="1" applyFont="1" applyFill="1" applyBorder="1" applyAlignment="1" applyProtection="1">
      <alignment horizontal="left"/>
    </xf>
    <xf numFmtId="41" fontId="15" fillId="0" borderId="0" xfId="881" quotePrefix="1" applyNumberFormat="1" applyFont="1" applyFill="1" applyBorder="1" applyAlignment="1" applyProtection="1">
      <alignment horizontal="right"/>
    </xf>
    <xf numFmtId="174" fontId="15" fillId="0" borderId="0" xfId="0" applyNumberFormat="1" applyFont="1" applyFill="1" applyBorder="1" applyProtection="1"/>
    <xf numFmtId="174" fontId="15" fillId="0" borderId="20" xfId="0" applyNumberFormat="1" applyFont="1" applyFill="1" applyBorder="1" applyProtection="1"/>
    <xf numFmtId="41" fontId="15" fillId="0" borderId="19" xfId="881" quotePrefix="1" applyNumberFormat="1" applyFont="1" applyFill="1" applyBorder="1" applyAlignment="1" applyProtection="1">
      <alignment horizontal="left" vertical="center"/>
    </xf>
    <xf numFmtId="41" fontId="15" fillId="0" borderId="0" xfId="881" quotePrefix="1" applyNumberFormat="1" applyFont="1" applyFill="1" applyBorder="1" applyAlignment="1" applyProtection="1">
      <alignment horizontal="right" vertical="center"/>
    </xf>
    <xf numFmtId="0" fontId="15" fillId="0" borderId="33" xfId="0" applyFont="1" applyFill="1" applyBorder="1" applyAlignment="1" applyProtection="1">
      <alignment horizontal="left"/>
    </xf>
    <xf numFmtId="0" fontId="15" fillId="0" borderId="30" xfId="0" applyFont="1" applyFill="1" applyBorder="1" applyAlignment="1" applyProtection="1">
      <alignment horizontal="right"/>
    </xf>
    <xf numFmtId="173" fontId="15" fillId="0" borderId="30" xfId="0" applyNumberFormat="1" applyFont="1" applyFill="1" applyBorder="1" applyProtection="1"/>
    <xf numFmtId="173" fontId="15" fillId="0" borderId="31" xfId="0" applyNumberFormat="1" applyFont="1" applyFill="1" applyBorder="1" applyProtection="1"/>
    <xf numFmtId="173" fontId="15" fillId="0" borderId="0" xfId="881" quotePrefix="1" applyNumberFormat="1" applyFont="1" applyFill="1" applyBorder="1" applyAlignment="1" applyProtection="1">
      <alignment horizontal="center"/>
    </xf>
    <xf numFmtId="0" fontId="15" fillId="0" borderId="25" xfId="0" applyFont="1" applyFill="1" applyBorder="1" applyProtection="1"/>
    <xf numFmtId="173" fontId="119" fillId="0" borderId="42" xfId="0" applyNumberFormat="1" applyFont="1" applyFill="1" applyBorder="1" applyProtection="1"/>
    <xf numFmtId="0" fontId="15" fillId="0" borderId="26" xfId="0" applyFont="1" applyFill="1" applyBorder="1" applyProtection="1"/>
    <xf numFmtId="173" fontId="119" fillId="0" borderId="33" xfId="0" applyNumberFormat="1" applyFont="1" applyFill="1" applyBorder="1" applyProtection="1"/>
    <xf numFmtId="0" fontId="15" fillId="0" borderId="27" xfId="0" applyFont="1" applyFill="1" applyBorder="1" applyProtection="1"/>
    <xf numFmtId="173" fontId="15" fillId="0" borderId="0" xfId="0" applyNumberFormat="1" applyFont="1" applyFill="1" applyBorder="1" applyProtection="1"/>
    <xf numFmtId="173" fontId="87" fillId="0" borderId="28" xfId="198" applyNumberFormat="1" applyFont="1" applyBorder="1" applyProtection="1"/>
    <xf numFmtId="173" fontId="87" fillId="0" borderId="39" xfId="198" applyNumberFormat="1" applyFont="1" applyBorder="1" applyProtection="1"/>
    <xf numFmtId="0" fontId="14" fillId="0" borderId="0" xfId="775" quotePrefix="1" applyFont="1" applyAlignment="1" applyProtection="1">
      <alignment horizontal="left"/>
    </xf>
    <xf numFmtId="0" fontId="15" fillId="0" borderId="0" xfId="775" applyFont="1" applyFill="1" applyBorder="1" applyProtection="1"/>
    <xf numFmtId="0" fontId="15" fillId="0" borderId="0" xfId="775" applyFont="1" applyAlignment="1" applyProtection="1">
      <alignment horizontal="center"/>
    </xf>
    <xf numFmtId="10" fontId="15" fillId="0" borderId="0" xfId="775" applyNumberFormat="1" applyFont="1" applyProtection="1"/>
    <xf numFmtId="0" fontId="15" fillId="0" borderId="0" xfId="775" applyFont="1" applyBorder="1" applyProtection="1"/>
    <xf numFmtId="0" fontId="21" fillId="0" borderId="0" xfId="775" applyFont="1" applyAlignment="1" applyProtection="1">
      <alignment horizontal="right"/>
    </xf>
    <xf numFmtId="0" fontId="21" fillId="0" borderId="0" xfId="775" quotePrefix="1" applyFont="1" applyAlignment="1" applyProtection="1">
      <alignment horizontal="right"/>
    </xf>
    <xf numFmtId="0" fontId="60" fillId="0" borderId="0" xfId="775" applyFont="1" applyFill="1" applyProtection="1"/>
    <xf numFmtId="0" fontId="11" fillId="0" borderId="0" xfId="775" applyFont="1" applyFill="1" applyProtection="1"/>
    <xf numFmtId="1" fontId="12" fillId="0" borderId="47" xfId="775" applyNumberFormat="1" applyFont="1" applyFill="1" applyBorder="1" applyAlignment="1" applyProtection="1">
      <alignment horizontal="center"/>
    </xf>
    <xf numFmtId="172" fontId="15" fillId="0" borderId="40" xfId="881" applyFont="1" applyBorder="1" applyAlignment="1" applyProtection="1">
      <alignment horizontal="center"/>
    </xf>
    <xf numFmtId="172" fontId="15" fillId="0" borderId="40" xfId="881" quotePrefix="1" applyFont="1" applyBorder="1" applyAlignment="1" applyProtection="1">
      <alignment horizontal="center"/>
    </xf>
    <xf numFmtId="3" fontId="15" fillId="0" borderId="41" xfId="881" applyNumberFormat="1" applyFont="1" applyBorder="1" applyAlignment="1" applyProtection="1">
      <alignment horizontal="center"/>
    </xf>
    <xf numFmtId="0" fontId="82" fillId="0" borderId="0" xfId="775" applyFont="1" applyProtection="1"/>
    <xf numFmtId="0" fontId="15" fillId="0" borderId="38" xfId="775" applyFont="1" applyBorder="1" applyProtection="1"/>
    <xf numFmtId="173" fontId="15" fillId="0" borderId="19" xfId="275" quotePrefix="1" applyNumberFormat="1" applyFont="1" applyBorder="1" applyAlignment="1" applyProtection="1">
      <alignment horizontal="right"/>
    </xf>
    <xf numFmtId="173" fontId="12" fillId="0" borderId="0" xfId="275" applyNumberFormat="1" applyFont="1" applyBorder="1" applyProtection="1"/>
    <xf numFmtId="173" fontId="15" fillId="0" borderId="20" xfId="775" applyNumberFormat="1" applyFont="1" applyBorder="1" applyProtection="1"/>
    <xf numFmtId="0" fontId="11" fillId="0" borderId="0" xfId="775" applyFont="1" applyAlignment="1" applyProtection="1">
      <alignment horizontal="left"/>
    </xf>
    <xf numFmtId="0" fontId="10" fillId="0" borderId="44" xfId="275" applyNumberFormat="1" applyFont="1" applyFill="1" applyBorder="1" applyAlignment="1" applyProtection="1">
      <alignment horizontal="left"/>
    </xf>
    <xf numFmtId="173" fontId="15" fillId="0" borderId="45" xfId="275" quotePrefix="1" applyNumberFormat="1" applyFont="1" applyBorder="1" applyAlignment="1" applyProtection="1">
      <alignment horizontal="right"/>
    </xf>
    <xf numFmtId="173" fontId="12" fillId="0" borderId="11" xfId="275" applyNumberFormat="1" applyFont="1" applyBorder="1" applyProtection="1"/>
    <xf numFmtId="173" fontId="15" fillId="0" borderId="25" xfId="775" applyNumberFormat="1" applyFont="1" applyBorder="1" applyProtection="1"/>
    <xf numFmtId="0" fontId="12" fillId="0" borderId="0" xfId="775" applyFont="1" applyFill="1" applyProtection="1"/>
    <xf numFmtId="0" fontId="15" fillId="0" borderId="34" xfId="775" quotePrefix="1" applyFont="1" applyBorder="1" applyAlignment="1" applyProtection="1">
      <alignment horizontal="right"/>
    </xf>
    <xf numFmtId="173" fontId="12" fillId="0" borderId="6" xfId="275" applyNumberFormat="1" applyFont="1" applyFill="1" applyBorder="1" applyAlignment="1" applyProtection="1">
      <alignment horizontal="left"/>
    </xf>
    <xf numFmtId="173" fontId="12" fillId="0" borderId="27" xfId="275" applyNumberFormat="1" applyFont="1" applyFill="1" applyBorder="1" applyAlignment="1" applyProtection="1">
      <alignment horizontal="left"/>
    </xf>
    <xf numFmtId="173" fontId="15" fillId="0" borderId="0" xfId="775" applyNumberFormat="1" applyFont="1" applyAlignment="1" applyProtection="1">
      <alignment horizontal="left"/>
    </xf>
    <xf numFmtId="173" fontId="15" fillId="0" borderId="0" xfId="775" applyNumberFormat="1" applyFont="1" applyProtection="1"/>
    <xf numFmtId="0" fontId="15" fillId="0" borderId="0" xfId="775" applyFont="1" applyFill="1" applyAlignment="1" applyProtection="1">
      <alignment wrapText="1"/>
    </xf>
    <xf numFmtId="0" fontId="15" fillId="0" borderId="35" xfId="775" applyFont="1" applyFill="1" applyBorder="1" applyAlignment="1" applyProtection="1">
      <alignment horizontal="center"/>
    </xf>
    <xf numFmtId="0" fontId="15" fillId="0" borderId="36" xfId="775" applyFont="1" applyBorder="1" applyAlignment="1" applyProtection="1"/>
    <xf numFmtId="0" fontId="15" fillId="0" borderId="0" xfId="775" applyFont="1" applyFill="1" applyBorder="1" applyAlignment="1" applyProtection="1"/>
    <xf numFmtId="0" fontId="15" fillId="0" borderId="0" xfId="775" applyFont="1" applyBorder="1" applyAlignment="1" applyProtection="1"/>
    <xf numFmtId="0" fontId="15" fillId="0" borderId="19" xfId="775" quotePrefix="1" applyFont="1" applyFill="1" applyBorder="1" applyAlignment="1" applyProtection="1">
      <alignment horizontal="left"/>
    </xf>
    <xf numFmtId="43" fontId="10" fillId="27" borderId="46" xfId="198" applyFont="1" applyFill="1" applyBorder="1" applyProtection="1"/>
    <xf numFmtId="0" fontId="15" fillId="0" borderId="0" xfId="775" applyFont="1" applyBorder="1" applyAlignment="1" applyProtection="1">
      <alignment horizontal="center"/>
    </xf>
    <xf numFmtId="1" fontId="12" fillId="0" borderId="21" xfId="775" applyNumberFormat="1" applyFont="1" applyFill="1" applyBorder="1" applyAlignment="1" applyProtection="1">
      <alignment horizontal="center"/>
    </xf>
    <xf numFmtId="0" fontId="12" fillId="0" borderId="0" xfId="775" applyFont="1" applyFill="1" applyBorder="1" applyAlignment="1" applyProtection="1">
      <alignment horizontal="center"/>
    </xf>
    <xf numFmtId="0" fontId="15" fillId="0" borderId="19" xfId="775" applyFont="1" applyFill="1" applyBorder="1" applyProtection="1"/>
    <xf numFmtId="43" fontId="10" fillId="27" borderId="0" xfId="198" applyFont="1" applyFill="1" applyBorder="1" applyProtection="1"/>
    <xf numFmtId="173" fontId="15" fillId="0" borderId="20" xfId="775" applyNumberFormat="1" applyFont="1" applyFill="1" applyBorder="1" applyAlignment="1" applyProtection="1">
      <alignment horizontal="right"/>
    </xf>
    <xf numFmtId="173" fontId="15" fillId="0" borderId="0" xfId="775" applyNumberFormat="1" applyFont="1" applyFill="1" applyBorder="1" applyAlignment="1" applyProtection="1">
      <alignment horizontal="right"/>
    </xf>
    <xf numFmtId="10" fontId="15" fillId="0" borderId="20" xfId="775" applyNumberFormat="1" applyFont="1" applyBorder="1" applyProtection="1"/>
    <xf numFmtId="10" fontId="15" fillId="0" borderId="0" xfId="775" applyNumberFormat="1" applyFont="1" applyFill="1" applyBorder="1" applyProtection="1"/>
    <xf numFmtId="10" fontId="15" fillId="0" borderId="0" xfId="775" applyNumberFormat="1" applyFont="1" applyBorder="1" applyProtection="1"/>
    <xf numFmtId="0" fontId="15" fillId="0" borderId="34" xfId="775" applyFont="1" applyBorder="1" applyProtection="1"/>
    <xf numFmtId="0" fontId="15" fillId="0" borderId="6" xfId="775" applyFont="1" applyBorder="1" applyAlignment="1" applyProtection="1">
      <alignment horizontal="center"/>
    </xf>
    <xf numFmtId="0" fontId="15" fillId="0" borderId="6" xfId="775" applyFont="1" applyBorder="1" applyProtection="1"/>
    <xf numFmtId="0" fontId="15" fillId="0" borderId="0" xfId="775" applyFont="1" applyAlignment="1" applyProtection="1">
      <alignment wrapText="1"/>
    </xf>
    <xf numFmtId="0" fontId="12" fillId="0" borderId="38" xfId="775" applyFont="1" applyBorder="1" applyAlignment="1" applyProtection="1">
      <alignment horizontal="center" wrapText="1"/>
    </xf>
    <xf numFmtId="173" fontId="12" fillId="0" borderId="38" xfId="275" applyNumberFormat="1" applyFont="1" applyFill="1" applyBorder="1" applyAlignment="1" applyProtection="1">
      <alignment horizontal="center"/>
    </xf>
    <xf numFmtId="173" fontId="12" fillId="0" borderId="38" xfId="275" quotePrefix="1" applyNumberFormat="1" applyFont="1" applyFill="1" applyBorder="1" applyAlignment="1" applyProtection="1">
      <alignment horizontal="center" wrapText="1"/>
    </xf>
    <xf numFmtId="0" fontId="12" fillId="0" borderId="28" xfId="775" applyFont="1" applyBorder="1" applyAlignment="1" applyProtection="1">
      <alignment horizontal="center" wrapText="1"/>
    </xf>
    <xf numFmtId="0" fontId="12" fillId="0" borderId="39" xfId="775" applyFont="1" applyBorder="1" applyAlignment="1" applyProtection="1">
      <alignment horizontal="center"/>
    </xf>
    <xf numFmtId="0" fontId="12" fillId="0" borderId="6" xfId="775" applyFont="1" applyFill="1" applyBorder="1" applyAlignment="1" applyProtection="1">
      <alignment horizontal="center"/>
    </xf>
    <xf numFmtId="0" fontId="12" fillId="0" borderId="39" xfId="775" applyFont="1" applyFill="1" applyBorder="1" applyAlignment="1" applyProtection="1">
      <alignment horizontal="center"/>
    </xf>
    <xf numFmtId="0" fontId="12" fillId="0" borderId="28" xfId="775" applyFont="1" applyFill="1" applyBorder="1" applyAlignment="1" applyProtection="1">
      <alignment horizontal="center"/>
    </xf>
    <xf numFmtId="0" fontId="15" fillId="0" borderId="28" xfId="775" applyNumberFormat="1" applyFont="1" applyBorder="1" applyAlignment="1" applyProtection="1">
      <alignment horizontal="center"/>
    </xf>
    <xf numFmtId="173" fontId="15" fillId="0" borderId="0" xfId="775" applyNumberFormat="1" applyFont="1" applyBorder="1" applyProtection="1"/>
    <xf numFmtId="173" fontId="15" fillId="0" borderId="28" xfId="775" applyNumberFormat="1" applyFont="1" applyBorder="1" applyProtection="1"/>
    <xf numFmtId="173" fontId="15" fillId="0" borderId="38" xfId="775" applyNumberFormat="1" applyFont="1" applyBorder="1" applyProtection="1"/>
    <xf numFmtId="170" fontId="15" fillId="0" borderId="28" xfId="275" applyNumberFormat="1" applyFont="1" applyFill="1" applyBorder="1" applyProtection="1"/>
    <xf numFmtId="170" fontId="15" fillId="0" borderId="20" xfId="275" applyNumberFormat="1" applyFont="1" applyFill="1" applyBorder="1" applyProtection="1"/>
    <xf numFmtId="174" fontId="15" fillId="0" borderId="28" xfId="775" applyNumberFormat="1" applyFont="1" applyBorder="1" applyProtection="1"/>
    <xf numFmtId="174" fontId="15" fillId="27" borderId="38" xfId="775" applyNumberFormat="1" applyFont="1" applyFill="1" applyBorder="1" applyProtection="1"/>
    <xf numFmtId="174" fontId="15" fillId="0" borderId="38" xfId="775" applyNumberFormat="1" applyFont="1" applyBorder="1" applyProtection="1"/>
    <xf numFmtId="173" fontId="15" fillId="0" borderId="20" xfId="275" applyNumberFormat="1" applyFont="1" applyFill="1" applyBorder="1" applyProtection="1"/>
    <xf numFmtId="174" fontId="15" fillId="27" borderId="28" xfId="775" applyNumberFormat="1" applyFont="1" applyFill="1" applyBorder="1" applyProtection="1"/>
    <xf numFmtId="0" fontId="15" fillId="0" borderId="39" xfId="775" applyNumberFormat="1" applyFont="1" applyBorder="1" applyAlignment="1" applyProtection="1">
      <alignment horizontal="center"/>
    </xf>
    <xf numFmtId="173" fontId="15" fillId="0" borderId="6" xfId="775" applyNumberFormat="1" applyFont="1" applyBorder="1" applyProtection="1"/>
    <xf numFmtId="173" fontId="15" fillId="0" borderId="39" xfId="775" applyNumberFormat="1" applyFont="1" applyBorder="1" applyProtection="1"/>
    <xf numFmtId="173" fontId="15" fillId="0" borderId="27" xfId="275" applyNumberFormat="1" applyFont="1" applyFill="1" applyBorder="1" applyProtection="1"/>
    <xf numFmtId="174" fontId="15" fillId="0" borderId="39" xfId="775" applyNumberFormat="1" applyFont="1" applyBorder="1" applyProtection="1"/>
    <xf numFmtId="174" fontId="15" fillId="27" borderId="39" xfId="775" applyNumberFormat="1" applyFont="1" applyFill="1" applyBorder="1" applyProtection="1"/>
    <xf numFmtId="0" fontId="15" fillId="0" borderId="0" xfId="775" quotePrefix="1" applyFont="1" applyAlignment="1" applyProtection="1">
      <alignment horizontal="left"/>
    </xf>
    <xf numFmtId="174" fontId="15" fillId="0" borderId="0" xfId="775" applyNumberFormat="1" applyFont="1" applyBorder="1" applyProtection="1"/>
    <xf numFmtId="0" fontId="74" fillId="0" borderId="0" xfId="0" applyFont="1" applyFill="1" applyProtection="1"/>
    <xf numFmtId="0" fontId="67" fillId="0" borderId="0" xfId="0" applyFont="1" applyFill="1" applyAlignment="1" applyProtection="1">
      <alignment horizontal="right"/>
    </xf>
    <xf numFmtId="0" fontId="73" fillId="0" borderId="0" xfId="883" applyFont="1" applyFill="1" applyProtection="1"/>
    <xf numFmtId="0" fontId="74" fillId="0" borderId="0" xfId="883" applyFont="1" applyFill="1" applyProtection="1"/>
    <xf numFmtId="0" fontId="75" fillId="0" borderId="0" xfId="883" applyFont="1" applyFill="1" applyAlignment="1" applyProtection="1">
      <alignment horizontal="right"/>
    </xf>
    <xf numFmtId="0" fontId="129" fillId="0" borderId="0" xfId="883" applyFont="1" applyFill="1" applyProtection="1"/>
    <xf numFmtId="0" fontId="15" fillId="0" borderId="0" xfId="883" applyFont="1" applyFill="1" applyProtection="1"/>
    <xf numFmtId="0" fontId="14" fillId="0" borderId="0" xfId="883" applyFont="1" applyFill="1" applyAlignment="1" applyProtection="1">
      <alignment horizontal="center"/>
    </xf>
    <xf numFmtId="0" fontId="8" fillId="0" borderId="0" xfId="883" applyFont="1" applyFill="1" applyProtection="1"/>
    <xf numFmtId="0" fontId="9" fillId="0" borderId="11" xfId="883" applyFont="1" applyFill="1" applyBorder="1" applyAlignment="1" applyProtection="1">
      <alignment horizontal="center"/>
    </xf>
    <xf numFmtId="0" fontId="76" fillId="0" borderId="0" xfId="0" applyFont="1" applyFill="1" applyAlignment="1" applyProtection="1">
      <alignment horizontal="right"/>
    </xf>
    <xf numFmtId="0" fontId="14" fillId="0" borderId="0" xfId="883" applyFont="1" applyFill="1" applyProtection="1"/>
    <xf numFmtId="0" fontId="10" fillId="0" borderId="0" xfId="883" applyFont="1" applyFill="1" applyAlignment="1" applyProtection="1">
      <alignment horizontal="center"/>
    </xf>
    <xf numFmtId="0" fontId="130" fillId="0" borderId="0" xfId="883" applyFont="1" applyFill="1" applyAlignment="1" applyProtection="1">
      <alignment horizontal="center"/>
    </xf>
    <xf numFmtId="0" fontId="9" fillId="0" borderId="0" xfId="883" applyFont="1" applyFill="1" applyProtection="1"/>
    <xf numFmtId="173" fontId="10" fillId="27" borderId="0" xfId="198" applyNumberFormat="1" applyFont="1" applyFill="1" applyBorder="1" applyProtection="1"/>
    <xf numFmtId="173" fontId="10" fillId="0" borderId="0" xfId="883" applyNumberFormat="1" applyFont="1" applyFill="1" applyProtection="1"/>
    <xf numFmtId="173" fontId="15" fillId="0" borderId="0" xfId="883" applyNumberFormat="1" applyFont="1" applyFill="1" applyProtection="1"/>
    <xf numFmtId="0" fontId="10" fillId="0" borderId="0" xfId="883" applyFont="1" applyFill="1" applyProtection="1"/>
    <xf numFmtId="43" fontId="10" fillId="0" borderId="0" xfId="535" applyFont="1" applyFill="1" applyProtection="1"/>
    <xf numFmtId="0" fontId="131" fillId="0" borderId="0" xfId="0" applyFont="1" applyFill="1" applyProtection="1"/>
    <xf numFmtId="43" fontId="15" fillId="0" borderId="0" xfId="535" applyFont="1" applyFill="1" applyProtection="1"/>
    <xf numFmtId="0" fontId="80" fillId="0" borderId="0" xfId="0" applyFont="1" applyFill="1" applyProtection="1"/>
    <xf numFmtId="0" fontId="8" fillId="0" borderId="0" xfId="883" quotePrefix="1" applyFont="1" applyFill="1" applyAlignment="1" applyProtection="1">
      <alignment horizontal="left"/>
    </xf>
    <xf numFmtId="173" fontId="10" fillId="0" borderId="2" xfId="883" applyNumberFormat="1" applyFont="1" applyFill="1" applyBorder="1" applyProtection="1"/>
    <xf numFmtId="0" fontId="80" fillId="0" borderId="0" xfId="883" applyFont="1" applyFill="1" applyProtection="1"/>
    <xf numFmtId="173" fontId="10" fillId="0" borderId="2" xfId="198" applyNumberFormat="1" applyFont="1" applyFill="1" applyBorder="1" applyProtection="1"/>
    <xf numFmtId="173" fontId="10" fillId="0" borderId="0" xfId="883" applyNumberFormat="1" applyFont="1" applyFill="1" applyBorder="1" applyProtection="1"/>
    <xf numFmtId="0" fontId="9" fillId="0" borderId="0" xfId="883" applyFont="1" applyFill="1" applyAlignment="1" applyProtection="1">
      <alignment horizontal="right"/>
    </xf>
    <xf numFmtId="43" fontId="67" fillId="0" borderId="0" xfId="883" applyNumberFormat="1" applyFont="1" applyFill="1" applyAlignment="1" applyProtection="1"/>
    <xf numFmtId="0" fontId="11" fillId="0" borderId="0" xfId="883" quotePrefix="1" applyFont="1" applyFill="1" applyAlignment="1" applyProtection="1">
      <alignment horizontal="left"/>
    </xf>
    <xf numFmtId="0" fontId="12" fillId="0" borderId="0" xfId="883" applyFont="1" applyFill="1" applyProtection="1"/>
    <xf numFmtId="0" fontId="12" fillId="0" borderId="0" xfId="883" applyFont="1" applyFill="1" applyAlignment="1" applyProtection="1">
      <alignment horizontal="left"/>
    </xf>
    <xf numFmtId="0" fontId="11" fillId="0" borderId="0" xfId="876" applyFont="1" applyFill="1" applyProtection="1"/>
    <xf numFmtId="0" fontId="11" fillId="0" borderId="0" xfId="883" applyFont="1" applyFill="1" applyProtection="1"/>
    <xf numFmtId="0" fontId="130" fillId="0" borderId="0" xfId="883" applyFont="1" applyFill="1" applyAlignment="1" applyProtection="1">
      <alignment horizontal="center" vertical="top"/>
    </xf>
    <xf numFmtId="0" fontId="114" fillId="0" borderId="0" xfId="883" applyFont="1" applyFill="1" applyProtection="1"/>
    <xf numFmtId="0" fontId="113" fillId="0" borderId="0" xfId="883" applyFont="1" applyFill="1" applyProtection="1"/>
    <xf numFmtId="170" fontId="10" fillId="0" borderId="14" xfId="883" applyNumberFormat="1" applyFont="1" applyFill="1" applyBorder="1" applyProtection="1"/>
    <xf numFmtId="0" fontId="77" fillId="0" borderId="0" xfId="883" applyFont="1" applyFill="1" applyAlignment="1" applyProtection="1"/>
    <xf numFmtId="0" fontId="113" fillId="0" borderId="0" xfId="883" applyFont="1" applyFill="1" applyAlignment="1" applyProtection="1">
      <alignment vertical="top"/>
    </xf>
    <xf numFmtId="0" fontId="114" fillId="0" borderId="0" xfId="883" applyFont="1" applyFill="1" applyAlignment="1" applyProtection="1">
      <alignment vertical="top"/>
    </xf>
    <xf numFmtId="43" fontId="114" fillId="0" borderId="0" xfId="535" applyFont="1" applyFill="1" applyAlignment="1" applyProtection="1">
      <alignment vertical="top"/>
    </xf>
    <xf numFmtId="173" fontId="10" fillId="0" borderId="0" xfId="198" applyNumberFormat="1" applyFont="1" applyFill="1" applyBorder="1" applyProtection="1"/>
    <xf numFmtId="43" fontId="114" fillId="0" borderId="0" xfId="535" applyFont="1" applyFill="1" applyProtection="1"/>
    <xf numFmtId="170" fontId="8" fillId="0" borderId="15" xfId="883" applyNumberFormat="1" applyFont="1" applyFill="1" applyBorder="1" applyAlignment="1" applyProtection="1">
      <alignment horizontal="right"/>
    </xf>
    <xf numFmtId="0" fontId="132" fillId="0" borderId="0" xfId="883" applyFont="1" applyFill="1" applyProtection="1"/>
    <xf numFmtId="0" fontId="12" fillId="0" borderId="0" xfId="883" applyFont="1" applyFill="1" applyBorder="1" applyAlignment="1" applyProtection="1">
      <alignment horizontal="center"/>
    </xf>
    <xf numFmtId="0" fontId="15" fillId="0" borderId="0" xfId="883" applyFont="1" applyFill="1" applyBorder="1" applyProtection="1"/>
    <xf numFmtId="3" fontId="11" fillId="0" borderId="0" xfId="0" applyNumberFormat="1" applyFont="1" applyFill="1" applyAlignment="1" applyProtection="1"/>
    <xf numFmtId="0" fontId="16" fillId="0" borderId="0" xfId="0" applyFont="1" applyFill="1" applyAlignment="1" applyProtection="1">
      <alignment horizontal="center"/>
    </xf>
    <xf numFmtId="3" fontId="9" fillId="0" borderId="0" xfId="0" applyNumberFormat="1" applyFont="1" applyFill="1" applyAlignment="1" applyProtection="1"/>
    <xf numFmtId="1" fontId="15" fillId="0" borderId="0" xfId="0" applyNumberFormat="1" applyFont="1" applyFill="1" applyAlignment="1" applyProtection="1">
      <alignment horizontal="center"/>
    </xf>
    <xf numFmtId="0" fontId="16" fillId="0" borderId="0" xfId="0" applyFont="1" applyFill="1" applyAlignment="1" applyProtection="1"/>
    <xf numFmtId="43" fontId="80" fillId="27" borderId="0" xfId="198" applyFont="1" applyFill="1" applyBorder="1" applyProtection="1"/>
    <xf numFmtId="0" fontId="15" fillId="0" borderId="0" xfId="0" applyFont="1" applyFill="1" applyAlignment="1" applyProtection="1">
      <alignment horizontal="right"/>
    </xf>
    <xf numFmtId="5" fontId="15" fillId="0" borderId="14" xfId="198" applyNumberFormat="1" applyFont="1" applyFill="1" applyBorder="1" applyAlignment="1" applyProtection="1"/>
    <xf numFmtId="173" fontId="15" fillId="0" borderId="0" xfId="198" applyNumberFormat="1" applyFont="1" applyFill="1" applyAlignment="1" applyProtection="1"/>
    <xf numFmtId="0" fontId="18" fillId="0" borderId="0" xfId="878" applyFont="1" applyFill="1" applyAlignment="1" applyProtection="1">
      <alignment horizontal="left"/>
    </xf>
    <xf numFmtId="0" fontId="18" fillId="0" borderId="0" xfId="878" applyFont="1" applyFill="1" applyProtection="1"/>
    <xf numFmtId="0" fontId="10" fillId="0" borderId="0" xfId="878" applyFont="1" applyFill="1" applyProtection="1"/>
    <xf numFmtId="0" fontId="10" fillId="0" borderId="0" xfId="878" applyFont="1" applyFill="1" applyAlignment="1" applyProtection="1">
      <alignment horizontal="center"/>
    </xf>
    <xf numFmtId="0" fontId="10" fillId="0" borderId="0" xfId="878" applyFont="1" applyFill="1" applyAlignment="1" applyProtection="1">
      <alignment horizontal="left"/>
    </xf>
    <xf numFmtId="0" fontId="17" fillId="0" borderId="0" xfId="878" applyFont="1" applyFill="1" applyProtection="1"/>
    <xf numFmtId="0" fontId="69" fillId="0" borderId="0" xfId="878" applyFont="1" applyFill="1" applyProtection="1"/>
    <xf numFmtId="9" fontId="13" fillId="0" borderId="0" xfId="878" quotePrefix="1" applyNumberFormat="1" applyFont="1" applyFill="1" applyAlignment="1" applyProtection="1">
      <alignment horizontal="center"/>
    </xf>
    <xf numFmtId="0" fontId="84" fillId="0" borderId="0" xfId="878" applyFont="1" applyFill="1" applyBorder="1" applyProtection="1"/>
    <xf numFmtId="0" fontId="13" fillId="0" borderId="0" xfId="878" applyFont="1" applyFill="1" applyAlignment="1" applyProtection="1">
      <alignment horizontal="center" wrapText="1"/>
    </xf>
    <xf numFmtId="3" fontId="13" fillId="0" borderId="0" xfId="0" applyNumberFormat="1" applyFont="1" applyFill="1" applyAlignment="1" applyProtection="1">
      <alignment horizontal="center"/>
    </xf>
    <xf numFmtId="0" fontId="10" fillId="0" borderId="0" xfId="878" applyFont="1" applyFill="1" applyAlignment="1" applyProtection="1">
      <alignment horizontal="center" vertical="center"/>
    </xf>
    <xf numFmtId="0" fontId="22" fillId="27" borderId="0" xfId="878" applyNumberFormat="1" applyFont="1" applyFill="1" applyBorder="1" applyAlignment="1" applyProtection="1">
      <alignment horizontal="center"/>
    </xf>
    <xf numFmtId="3" fontId="22" fillId="27" borderId="0" xfId="0" applyNumberFormat="1" applyFont="1" applyFill="1" applyAlignment="1" applyProtection="1"/>
    <xf numFmtId="37" fontId="22" fillId="27" borderId="0" xfId="0" quotePrefix="1" applyNumberFormat="1" applyFont="1" applyFill="1" applyAlignment="1" applyProtection="1">
      <alignment horizontal="right" vertical="top"/>
    </xf>
    <xf numFmtId="3" fontId="22" fillId="27" borderId="0" xfId="0" quotePrefix="1" applyNumberFormat="1" applyFont="1" applyFill="1" applyAlignment="1" applyProtection="1">
      <alignment horizontal="left" vertical="top" wrapText="1"/>
    </xf>
    <xf numFmtId="37" fontId="83" fillId="0" borderId="0" xfId="878" applyNumberFormat="1" applyFont="1" applyFill="1" applyProtection="1"/>
    <xf numFmtId="3" fontId="22" fillId="27" borderId="0" xfId="0" quotePrefix="1" applyNumberFormat="1" applyFont="1" applyFill="1" applyAlignment="1" applyProtection="1">
      <alignment horizontal="center" vertical="top"/>
    </xf>
    <xf numFmtId="3" fontId="22" fillId="27" borderId="0" xfId="0" quotePrefix="1" applyNumberFormat="1" applyFont="1" applyFill="1" applyAlignment="1" applyProtection="1">
      <alignment horizontal="left" vertical="top"/>
    </xf>
    <xf numFmtId="3" fontId="22" fillId="27" borderId="0" xfId="0" quotePrefix="1" applyNumberFormat="1" applyFont="1" applyFill="1" applyAlignment="1" applyProtection="1">
      <alignment horizontal="right" vertical="top"/>
    </xf>
    <xf numFmtId="0" fontId="87" fillId="27" borderId="0" xfId="311" applyNumberFormat="1" applyFont="1" applyFill="1" applyBorder="1" applyAlignment="1" applyProtection="1">
      <alignment horizontal="left"/>
    </xf>
    <xf numFmtId="3" fontId="22" fillId="27" borderId="0" xfId="0" quotePrefix="1" applyNumberFormat="1" applyFont="1" applyFill="1" applyAlignment="1" applyProtection="1">
      <alignment horizontal="left" vertical="center"/>
    </xf>
    <xf numFmtId="173" fontId="22" fillId="27" borderId="0" xfId="311" applyNumberFormat="1" applyFont="1" applyFill="1" applyBorder="1" applyProtection="1"/>
    <xf numFmtId="43" fontId="22" fillId="27" borderId="0" xfId="311" applyFont="1" applyFill="1" applyBorder="1" applyProtection="1"/>
    <xf numFmtId="3" fontId="22" fillId="27" borderId="0" xfId="0" quotePrefix="1" applyNumberFormat="1" applyFont="1" applyFill="1" applyAlignment="1" applyProtection="1">
      <alignment horizontal="left" vertical="center" wrapText="1"/>
    </xf>
    <xf numFmtId="0" fontId="25" fillId="0" borderId="0" xfId="878" applyNumberFormat="1" applyFont="1" applyFill="1" applyAlignment="1" applyProtection="1">
      <alignment horizontal="left"/>
    </xf>
    <xf numFmtId="40" fontId="10" fillId="0" borderId="0" xfId="878" applyNumberFormat="1" applyFont="1" applyFill="1" applyProtection="1"/>
    <xf numFmtId="41" fontId="10" fillId="0" borderId="0" xfId="878" applyNumberFormat="1" applyFont="1" applyFill="1" applyProtection="1"/>
    <xf numFmtId="41" fontId="10" fillId="0" borderId="0" xfId="878" applyNumberFormat="1" applyFont="1" applyFill="1" applyBorder="1" applyAlignment="1" applyProtection="1">
      <alignment vertical="top"/>
    </xf>
    <xf numFmtId="180" fontId="10" fillId="0" borderId="0" xfId="878" applyNumberFormat="1" applyFont="1" applyFill="1" applyProtection="1"/>
    <xf numFmtId="0" fontId="10" fillId="0" borderId="0" xfId="878" applyNumberFormat="1" applyFont="1" applyFill="1" applyAlignment="1" applyProtection="1">
      <alignment horizontal="left"/>
    </xf>
    <xf numFmtId="0" fontId="11" fillId="0" borderId="0" xfId="878" applyFont="1" applyFill="1" applyBorder="1" applyProtection="1"/>
    <xf numFmtId="38" fontId="10" fillId="0" borderId="14" xfId="0" applyNumberFormat="1" applyFont="1" applyFill="1" applyBorder="1" applyProtection="1"/>
    <xf numFmtId="0" fontId="85" fillId="0" borderId="0" xfId="878" applyFont="1" applyFill="1" applyBorder="1" applyProtection="1"/>
    <xf numFmtId="43" fontId="10" fillId="0" borderId="0" xfId="878" applyNumberFormat="1" applyFont="1" applyFill="1" applyProtection="1"/>
    <xf numFmtId="0" fontId="10" fillId="0" borderId="0" xfId="878" applyNumberFormat="1" applyFont="1" applyFill="1" applyAlignment="1" applyProtection="1">
      <alignment horizontal="center"/>
    </xf>
    <xf numFmtId="43" fontId="87" fillId="27" borderId="0" xfId="311" applyFont="1" applyFill="1" applyBorder="1" applyProtection="1"/>
    <xf numFmtId="3" fontId="15" fillId="0" borderId="0" xfId="0" applyNumberFormat="1" applyFont="1" applyFill="1" applyProtection="1"/>
    <xf numFmtId="40" fontId="15" fillId="0" borderId="0" xfId="0" applyNumberFormat="1" applyFont="1" applyFill="1" applyProtection="1"/>
    <xf numFmtId="43" fontId="22" fillId="27" borderId="0" xfId="198" applyFont="1" applyFill="1" applyBorder="1" applyProtection="1"/>
    <xf numFmtId="37" fontId="10" fillId="0" borderId="0" xfId="878" applyNumberFormat="1" applyFont="1" applyFill="1" applyProtection="1"/>
    <xf numFmtId="37" fontId="10" fillId="0" borderId="0" xfId="878" applyNumberFormat="1" applyFont="1" applyFill="1" applyBorder="1" applyAlignment="1" applyProtection="1">
      <alignment vertical="top"/>
    </xf>
    <xf numFmtId="0" fontId="11" fillId="0" borderId="0" xfId="879" applyFont="1" applyFill="1" applyBorder="1" applyProtection="1"/>
    <xf numFmtId="37" fontId="10" fillId="0" borderId="14" xfId="0" applyNumberFormat="1" applyFont="1" applyFill="1" applyBorder="1" applyProtection="1"/>
    <xf numFmtId="37" fontId="10" fillId="0" borderId="0" xfId="0" applyNumberFormat="1" applyFont="1" applyFill="1" applyProtection="1"/>
    <xf numFmtId="0" fontId="11" fillId="0" borderId="0" xfId="878" applyNumberFormat="1" applyFont="1" applyFill="1" applyAlignment="1" applyProtection="1">
      <alignment horizontal="center"/>
    </xf>
    <xf numFmtId="37" fontId="11" fillId="0" borderId="0" xfId="198" applyNumberFormat="1" applyFont="1" applyFill="1" applyAlignment="1" applyProtection="1">
      <alignment horizontal="center"/>
    </xf>
    <xf numFmtId="41" fontId="22" fillId="27" borderId="0" xfId="878" applyNumberFormat="1" applyFont="1" applyFill="1" applyBorder="1" applyAlignment="1" applyProtection="1">
      <alignment horizontal="center"/>
    </xf>
    <xf numFmtId="0" fontId="87" fillId="27" borderId="0" xfId="311" applyNumberFormat="1" applyFont="1" applyFill="1" applyBorder="1" applyProtection="1"/>
    <xf numFmtId="41" fontId="10" fillId="0" borderId="14" xfId="878" applyNumberFormat="1" applyFont="1" applyFill="1" applyBorder="1" applyProtection="1"/>
    <xf numFmtId="192" fontId="18" fillId="0" borderId="0" xfId="878" applyNumberFormat="1" applyFont="1" applyFill="1" applyProtection="1"/>
    <xf numFmtId="0" fontId="10" fillId="0" borderId="0" xfId="0" applyFont="1" applyFill="1" applyAlignment="1" applyProtection="1">
      <alignment horizontal="center" vertical="center"/>
    </xf>
    <xf numFmtId="38" fontId="18" fillId="0" borderId="0" xfId="878" applyNumberFormat="1" applyFont="1" applyFill="1" applyProtection="1"/>
    <xf numFmtId="3" fontId="18" fillId="0" borderId="0" xfId="878" applyNumberFormat="1" applyFont="1" applyFill="1" applyProtection="1"/>
    <xf numFmtId="0" fontId="21" fillId="0" borderId="0" xfId="0" applyFont="1" applyFill="1" applyProtection="1"/>
    <xf numFmtId="0" fontId="9" fillId="0" borderId="0" xfId="0" applyFont="1" applyFill="1" applyAlignment="1" applyProtection="1">
      <alignment horizontal="center"/>
    </xf>
    <xf numFmtId="0" fontId="9" fillId="0" borderId="0" xfId="0" applyFont="1" applyFill="1" applyAlignment="1" applyProtection="1">
      <alignment wrapText="1"/>
    </xf>
    <xf numFmtId="10" fontId="10" fillId="27" borderId="0" xfId="899" applyNumberFormat="1" applyFont="1" applyFill="1" applyBorder="1" applyProtection="1"/>
    <xf numFmtId="37" fontId="10" fillId="0" borderId="0" xfId="0" applyNumberFormat="1" applyFont="1" applyFill="1" applyAlignment="1" applyProtection="1">
      <alignment horizontal="center"/>
    </xf>
    <xf numFmtId="10" fontId="22" fillId="27" borderId="0" xfId="899" applyNumberFormat="1" applyFont="1" applyFill="1" applyBorder="1" applyProtection="1"/>
    <xf numFmtId="0" fontId="18" fillId="0" borderId="0" xfId="0" applyFont="1" applyFill="1" applyProtection="1"/>
    <xf numFmtId="37" fontId="10" fillId="0" borderId="0" xfId="0" applyNumberFormat="1" applyFont="1" applyFill="1" applyAlignment="1" applyProtection="1"/>
    <xf numFmtId="175" fontId="10" fillId="0" borderId="0" xfId="0" applyNumberFormat="1" applyFont="1" applyFill="1" applyBorder="1" applyAlignment="1" applyProtection="1"/>
    <xf numFmtId="175" fontId="10" fillId="0" borderId="0" xfId="0" applyNumberFormat="1" applyFont="1" applyFill="1" applyProtection="1"/>
    <xf numFmtId="37" fontId="116" fillId="0" borderId="0" xfId="0" applyNumberFormat="1" applyFont="1" applyFill="1" applyAlignment="1" applyProtection="1"/>
    <xf numFmtId="175" fontId="116" fillId="0" borderId="0" xfId="0" applyNumberFormat="1" applyFont="1" applyFill="1" applyBorder="1" applyAlignment="1" applyProtection="1"/>
    <xf numFmtId="0" fontId="116" fillId="0" borderId="0" xfId="0" applyFont="1" applyFill="1" applyProtection="1"/>
    <xf numFmtId="175" fontId="10" fillId="0" borderId="15" xfId="0" applyNumberFormat="1" applyFont="1" applyFill="1" applyBorder="1" applyAlignment="1" applyProtection="1"/>
    <xf numFmtId="191" fontId="15" fillId="0" borderId="0" xfId="0" applyNumberFormat="1" applyFont="1" applyFill="1" applyProtection="1"/>
    <xf numFmtId="37" fontId="10" fillId="0" borderId="0" xfId="0" applyNumberFormat="1" applyFont="1" applyFill="1" applyAlignment="1" applyProtection="1">
      <alignment horizontal="left"/>
    </xf>
    <xf numFmtId="41" fontId="10" fillId="0" borderId="0" xfId="0" applyNumberFormat="1" applyFont="1" applyFill="1" applyProtection="1"/>
    <xf numFmtId="10" fontId="10" fillId="0" borderId="11" xfId="899" applyNumberFormat="1" applyFont="1" applyFill="1" applyBorder="1" applyAlignment="1" applyProtection="1"/>
    <xf numFmtId="9" fontId="22" fillId="27" borderId="11" xfId="0" applyNumberFormat="1" applyFont="1" applyFill="1" applyBorder="1" applyAlignment="1" applyProtection="1"/>
    <xf numFmtId="9" fontId="22" fillId="27" borderId="11" xfId="899" applyNumberFormat="1" applyFont="1" applyFill="1" applyBorder="1" applyProtection="1"/>
    <xf numFmtId="173" fontId="10" fillId="0" borderId="0" xfId="198" applyNumberFormat="1" applyFont="1" applyFill="1" applyBorder="1" applyAlignment="1" applyProtection="1"/>
    <xf numFmtId="172" fontId="10" fillId="0" borderId="0" xfId="881" applyFont="1" applyFill="1" applyAlignment="1" applyProtection="1">
      <alignment horizontal="right"/>
    </xf>
    <xf numFmtId="173" fontId="10" fillId="0" borderId="14" xfId="198" applyNumberFormat="1" applyFont="1" applyFill="1" applyBorder="1" applyAlignment="1" applyProtection="1"/>
    <xf numFmtId="3" fontId="22" fillId="27" borderId="0" xfId="0" applyNumberFormat="1" applyFont="1" applyFill="1" applyBorder="1" applyAlignment="1" applyProtection="1"/>
    <xf numFmtId="10" fontId="10"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15" fillId="0" borderId="0" xfId="882" applyNumberFormat="1" applyFont="1" applyFill="1" applyProtection="1"/>
    <xf numFmtId="184" fontId="15" fillId="0" borderId="0" xfId="882" applyNumberFormat="1" applyFont="1" applyFill="1" applyProtection="1"/>
    <xf numFmtId="0" fontId="15" fillId="0" borderId="0" xfId="882" applyFont="1" applyFill="1" applyProtection="1"/>
    <xf numFmtId="0" fontId="21" fillId="0" borderId="0" xfId="882" applyNumberFormat="1" applyFont="1" applyFill="1" applyAlignment="1" applyProtection="1">
      <alignment horizontal="center"/>
    </xf>
    <xf numFmtId="0" fontId="21" fillId="0" borderId="0" xfId="882" applyNumberFormat="1" applyFont="1" applyFill="1" applyProtection="1"/>
    <xf numFmtId="0" fontId="9" fillId="0" borderId="0" xfId="882" applyNumberFormat="1" applyFont="1" applyFill="1" applyAlignment="1" applyProtection="1">
      <alignment horizontal="center"/>
    </xf>
    <xf numFmtId="0" fontId="9" fillId="0" borderId="0" xfId="882" applyNumberFormat="1" applyFont="1" applyFill="1" applyProtection="1"/>
    <xf numFmtId="184" fontId="9" fillId="0" borderId="0" xfId="882" applyNumberFormat="1" applyFont="1" applyFill="1" applyAlignment="1" applyProtection="1">
      <alignment horizontal="center"/>
    </xf>
    <xf numFmtId="0" fontId="65" fillId="0" borderId="0" xfId="882" applyFont="1" applyFill="1" applyProtection="1"/>
    <xf numFmtId="0" fontId="12" fillId="0" borderId="0" xfId="882" applyFont="1" applyFill="1" applyProtection="1"/>
    <xf numFmtId="0" fontId="9" fillId="0" borderId="11" xfId="882" applyNumberFormat="1" applyFont="1" applyFill="1" applyBorder="1" applyAlignment="1" applyProtection="1">
      <alignment horizontal="center"/>
    </xf>
    <xf numFmtId="184" fontId="9" fillId="0" borderId="11" xfId="882" applyNumberFormat="1" applyFont="1" applyFill="1" applyBorder="1" applyAlignment="1" applyProtection="1">
      <alignment horizontal="center"/>
    </xf>
    <xf numFmtId="0" fontId="65" fillId="0" borderId="11" xfId="882" applyFont="1" applyFill="1" applyBorder="1" applyAlignment="1" applyProtection="1">
      <alignment horizontal="center"/>
    </xf>
    <xf numFmtId="0" fontId="12" fillId="0" borderId="0" xfId="882" applyFont="1" applyFill="1" applyAlignment="1" applyProtection="1">
      <alignment horizontal="center"/>
    </xf>
    <xf numFmtId="0" fontId="21" fillId="0" borderId="0" xfId="882" applyNumberFormat="1" applyFont="1" applyFill="1" applyBorder="1" applyAlignment="1" applyProtection="1">
      <alignment horizontal="center"/>
    </xf>
    <xf numFmtId="184" fontId="21" fillId="0" borderId="0" xfId="882" applyNumberFormat="1" applyFont="1" applyFill="1" applyAlignment="1" applyProtection="1">
      <alignment horizontal="center"/>
    </xf>
    <xf numFmtId="0" fontId="63" fillId="0" borderId="0" xfId="882" applyFont="1" applyFill="1" applyProtection="1"/>
    <xf numFmtId="0" fontId="118" fillId="0" borderId="0" xfId="882" applyNumberFormat="1" applyFont="1" applyFill="1" applyProtection="1"/>
    <xf numFmtId="184" fontId="21" fillId="0" borderId="0" xfId="882" applyNumberFormat="1" applyFont="1" applyFill="1" applyProtection="1"/>
    <xf numFmtId="0" fontId="21" fillId="0" borderId="0" xfId="882" applyFont="1" applyFill="1" applyProtection="1"/>
    <xf numFmtId="0" fontId="64" fillId="0" borderId="0" xfId="882" applyFont="1" applyFill="1" applyProtection="1"/>
    <xf numFmtId="173" fontId="63" fillId="0" borderId="0" xfId="882" applyNumberFormat="1" applyFont="1" applyFill="1" applyBorder="1" applyProtection="1"/>
    <xf numFmtId="173" fontId="89" fillId="27" borderId="0" xfId="311" applyNumberFormat="1" applyFont="1" applyFill="1" applyBorder="1" applyProtection="1"/>
    <xf numFmtId="0" fontId="63" fillId="0" borderId="0" xfId="882" applyFont="1" applyFill="1" applyBorder="1" applyProtection="1"/>
    <xf numFmtId="173" fontId="15" fillId="0" borderId="0" xfId="311" applyNumberFormat="1" applyFont="1" applyFill="1" applyProtection="1"/>
    <xf numFmtId="0" fontId="89" fillId="27" borderId="0" xfId="882" applyFont="1" applyFill="1" applyProtection="1"/>
    <xf numFmtId="173" fontId="160" fillId="27" borderId="0" xfId="311" applyNumberFormat="1" applyFont="1" applyFill="1" applyBorder="1" applyProtection="1"/>
    <xf numFmtId="0" fontId="21" fillId="0" borderId="0" xfId="880" applyFont="1" applyFill="1" applyAlignment="1" applyProtection="1">
      <alignment horizontal="center"/>
    </xf>
    <xf numFmtId="0" fontId="21" fillId="0" borderId="0" xfId="880" applyFont="1" applyFill="1" applyAlignment="1" applyProtection="1">
      <alignment horizontal="left" indent="2"/>
    </xf>
    <xf numFmtId="39" fontId="21" fillId="0" borderId="0" xfId="880" applyNumberFormat="1" applyFont="1" applyFill="1" applyProtection="1"/>
    <xf numFmtId="0" fontId="207" fillId="27" borderId="0" xfId="882" applyFont="1" applyFill="1" applyProtection="1"/>
    <xf numFmtId="43" fontId="63" fillId="0" borderId="0" xfId="198" applyFont="1" applyFill="1" applyProtection="1"/>
    <xf numFmtId="43" fontId="66" fillId="0" borderId="0" xfId="198" applyFont="1" applyFill="1" applyProtection="1"/>
    <xf numFmtId="173" fontId="66" fillId="0" borderId="0" xfId="198" applyNumberFormat="1" applyFont="1" applyFill="1" applyProtection="1"/>
    <xf numFmtId="173" fontId="10" fillId="0" borderId="0" xfId="198" applyNumberFormat="1" applyFont="1" applyFill="1" applyProtection="1"/>
    <xf numFmtId="173" fontId="63" fillId="0" borderId="15" xfId="198" applyNumberFormat="1" applyFont="1" applyFill="1" applyBorder="1" applyProtection="1"/>
    <xf numFmtId="0" fontId="63" fillId="0" borderId="0" xfId="882" applyFont="1" applyFill="1" applyAlignment="1" applyProtection="1">
      <alignment vertical="center"/>
    </xf>
    <xf numFmtId="0" fontId="15" fillId="0" borderId="0" xfId="0" applyFont="1" applyFill="1" applyAlignment="1" applyProtection="1">
      <alignment vertical="center"/>
    </xf>
    <xf numFmtId="173" fontId="63" fillId="0" borderId="0" xfId="882" applyNumberFormat="1" applyFont="1" applyFill="1" applyBorder="1" applyAlignment="1" applyProtection="1">
      <alignment vertical="center"/>
    </xf>
    <xf numFmtId="43" fontId="63" fillId="0" borderId="0" xfId="198" applyFont="1" applyFill="1" applyAlignment="1" applyProtection="1">
      <alignment vertical="center"/>
    </xf>
    <xf numFmtId="43" fontId="10" fillId="0" borderId="0" xfId="198" applyFont="1" applyFill="1" applyAlignment="1" applyProtection="1">
      <alignment vertical="center"/>
    </xf>
    <xf numFmtId="173" fontId="10" fillId="0" borderId="0" xfId="198" applyNumberFormat="1" applyFont="1" applyFill="1" applyAlignment="1" applyProtection="1">
      <alignment vertical="center"/>
    </xf>
    <xf numFmtId="43" fontId="66" fillId="0" borderId="0" xfId="198" applyFont="1" applyFill="1" applyAlignment="1" applyProtection="1">
      <alignment horizontal="right" vertical="center"/>
    </xf>
    <xf numFmtId="0" fontId="15" fillId="0" borderId="0" xfId="882" applyNumberFormat="1" applyFont="1" applyFill="1" applyAlignment="1" applyProtection="1">
      <alignment horizontal="center"/>
    </xf>
    <xf numFmtId="184" fontId="12" fillId="0" borderId="0" xfId="882" quotePrefix="1" applyNumberFormat="1" applyFont="1" applyFill="1" applyAlignment="1" applyProtection="1">
      <alignment horizontal="left"/>
    </xf>
    <xf numFmtId="173" fontId="63" fillId="0" borderId="13" xfId="198" applyNumberFormat="1" applyFont="1" applyFill="1" applyBorder="1" applyProtection="1"/>
    <xf numFmtId="0" fontId="18" fillId="0" borderId="0" xfId="1172" applyFont="1" applyAlignment="1" applyProtection="1"/>
    <xf numFmtId="0" fontId="18" fillId="0" borderId="0" xfId="1172" applyNumberFormat="1" applyFont="1" applyAlignment="1" applyProtection="1">
      <alignment horizontal="center"/>
    </xf>
    <xf numFmtId="0" fontId="72" fillId="0" borderId="0" xfId="1173" applyFont="1" applyAlignment="1" applyProtection="1">
      <alignment horizontal="centerContinuous"/>
    </xf>
    <xf numFmtId="0" fontId="7" fillId="0" borderId="0" xfId="1172" applyNumberFormat="1" applyFont="1" applyAlignment="1" applyProtection="1">
      <alignment horizontal="center"/>
    </xf>
    <xf numFmtId="0" fontId="12" fillId="0" borderId="0" xfId="1173" applyFont="1" applyAlignment="1" applyProtection="1">
      <alignment horizontal="centerContinuous"/>
    </xf>
    <xf numFmtId="0" fontId="7" fillId="0" borderId="53" xfId="1172" applyNumberFormat="1" applyFont="1" applyBorder="1" applyAlignment="1" applyProtection="1">
      <alignment horizontal="center" wrapText="1"/>
    </xf>
    <xf numFmtId="0" fontId="12" fillId="0" borderId="52" xfId="1173" applyFont="1" applyBorder="1" applyAlignment="1" applyProtection="1">
      <alignment horizontal="center" wrapText="1"/>
    </xf>
    <xf numFmtId="0" fontId="12" fillId="0" borderId="51" xfId="1173" applyFont="1" applyBorder="1" applyAlignment="1" applyProtection="1">
      <alignment horizontal="center" wrapText="1"/>
    </xf>
    <xf numFmtId="0" fontId="12" fillId="0" borderId="0" xfId="1173" applyFont="1" applyBorder="1" applyAlignment="1" applyProtection="1">
      <alignment horizontal="center" wrapText="1"/>
    </xf>
    <xf numFmtId="0" fontId="12" fillId="0" borderId="16" xfId="1173" applyFont="1" applyBorder="1" applyAlignment="1" applyProtection="1">
      <alignment horizontal="center" wrapText="1"/>
    </xf>
    <xf numFmtId="0" fontId="18" fillId="0" borderId="0" xfId="1172" applyFont="1" applyAlignment="1" applyProtection="1">
      <alignment wrapText="1"/>
    </xf>
    <xf numFmtId="0" fontId="7" fillId="0" borderId="51" xfId="1172" applyNumberFormat="1" applyFont="1" applyBorder="1" applyAlignment="1" applyProtection="1">
      <alignment horizontal="center"/>
    </xf>
    <xf numFmtId="0" fontId="12" fillId="0" borderId="50" xfId="1173" applyFont="1" applyBorder="1" applyAlignment="1" applyProtection="1">
      <alignment horizontal="center"/>
    </xf>
    <xf numFmtId="0" fontId="12" fillId="0" borderId="51" xfId="1173" applyFont="1" applyBorder="1" applyAlignment="1" applyProtection="1">
      <alignment horizontal="center"/>
    </xf>
    <xf numFmtId="0" fontId="12" fillId="0" borderId="0" xfId="1173" applyFont="1" applyBorder="1" applyAlignment="1" applyProtection="1">
      <alignment horizontal="center"/>
    </xf>
    <xf numFmtId="0" fontId="12" fillId="0" borderId="10" xfId="1173" applyFont="1" applyBorder="1" applyAlignment="1" applyProtection="1">
      <alignment horizontal="center"/>
    </xf>
    <xf numFmtId="0" fontId="162" fillId="0" borderId="0" xfId="1172" applyFont="1" applyAlignment="1" applyProtection="1"/>
    <xf numFmtId="3" fontId="23" fillId="0" borderId="49" xfId="1172" applyNumberFormat="1" applyFont="1" applyFill="1" applyBorder="1" applyAlignment="1" applyProtection="1">
      <alignment horizontal="center" wrapText="1"/>
    </xf>
    <xf numFmtId="3" fontId="23" fillId="0" borderId="11" xfId="1172" applyNumberFormat="1" applyFont="1" applyFill="1" applyBorder="1" applyAlignment="1" applyProtection="1">
      <alignment horizontal="center" wrapText="1"/>
    </xf>
    <xf numFmtId="3" fontId="23" fillId="0" borderId="68" xfId="1172" applyNumberFormat="1" applyFont="1" applyFill="1" applyBorder="1" applyAlignment="1" applyProtection="1">
      <alignment wrapText="1"/>
    </xf>
    <xf numFmtId="0" fontId="7" fillId="0" borderId="50" xfId="1173" quotePrefix="1" applyFont="1" applyBorder="1" applyAlignment="1" applyProtection="1">
      <alignment horizontal="left"/>
    </xf>
    <xf numFmtId="41" fontId="7" fillId="0" borderId="10" xfId="1173" applyNumberFormat="1" applyFont="1" applyFill="1" applyBorder="1" applyProtection="1"/>
    <xf numFmtId="0" fontId="7" fillId="0" borderId="50" xfId="1173" applyFont="1" applyBorder="1" applyProtection="1"/>
    <xf numFmtId="0" fontId="7" fillId="0" borderId="49" xfId="1172" applyNumberFormat="1" applyFont="1" applyBorder="1" applyAlignment="1" applyProtection="1">
      <alignment horizontal="center"/>
    </xf>
    <xf numFmtId="0" fontId="7" fillId="0" borderId="48" xfId="1173" applyFont="1" applyBorder="1" applyProtection="1"/>
    <xf numFmtId="0" fontId="7" fillId="0" borderId="29" xfId="1172" applyNumberFormat="1" applyFont="1" applyBorder="1" applyAlignment="1" applyProtection="1">
      <alignment horizontal="center"/>
    </xf>
    <xf numFmtId="173" fontId="7" fillId="0" borderId="66" xfId="1175" applyNumberFormat="1" applyFont="1" applyBorder="1" applyProtection="1"/>
    <xf numFmtId="0" fontId="7" fillId="0" borderId="0" xfId="1173" applyFont="1" applyProtection="1"/>
    <xf numFmtId="37" fontId="7" fillId="0" borderId="0" xfId="1173" applyNumberFormat="1" applyFont="1" applyProtection="1"/>
    <xf numFmtId="3" fontId="23" fillId="0" borderId="68" xfId="1172" applyNumberFormat="1" applyFont="1" applyFill="1" applyBorder="1" applyAlignment="1" applyProtection="1">
      <alignment horizontal="center" wrapText="1"/>
    </xf>
    <xf numFmtId="0" fontId="18" fillId="0" borderId="0" xfId="1173" applyFont="1" applyProtection="1"/>
    <xf numFmtId="37" fontId="18" fillId="0" borderId="0" xfId="1173" applyNumberFormat="1" applyFont="1" applyProtection="1"/>
    <xf numFmtId="0" fontId="162" fillId="0" borderId="0" xfId="1172" applyNumberFormat="1" applyFont="1" applyAlignment="1" applyProtection="1">
      <alignment horizontal="center"/>
    </xf>
    <xf numFmtId="0" fontId="72" fillId="0" borderId="0" xfId="1172" applyFont="1" applyAlignment="1" applyProtection="1">
      <alignment horizontal="center"/>
    </xf>
    <xf numFmtId="0" fontId="72" fillId="0" borderId="0" xfId="1172" quotePrefix="1" applyFont="1" applyAlignment="1" applyProtection="1">
      <alignment horizontal="center"/>
    </xf>
    <xf numFmtId="173" fontId="87" fillId="0" borderId="0" xfId="1175" applyNumberFormat="1" applyFont="1" applyFill="1" applyProtection="1"/>
    <xf numFmtId="0" fontId="87" fillId="27" borderId="0" xfId="1176" quotePrefix="1" applyFont="1" applyFill="1" applyAlignment="1" applyProtection="1">
      <alignment horizontal="left"/>
    </xf>
    <xf numFmtId="173" fontId="87" fillId="27" borderId="0" xfId="1184" applyNumberFormat="1" applyFont="1" applyFill="1" applyBorder="1" applyProtection="1"/>
    <xf numFmtId="0" fontId="18" fillId="0" borderId="11" xfId="1172" applyFont="1" applyBorder="1" applyAlignment="1" applyProtection="1"/>
    <xf numFmtId="0" fontId="10" fillId="0" borderId="0" xfId="0" applyFont="1" applyAlignment="1" applyProtection="1"/>
    <xf numFmtId="0" fontId="83" fillId="0" borderId="0" xfId="0" applyFont="1" applyAlignment="1" applyProtection="1">
      <alignment vertical="center"/>
    </xf>
    <xf numFmtId="0" fontId="196" fillId="0" borderId="0" xfId="0" applyFont="1" applyFill="1" applyAlignment="1" applyProtection="1">
      <alignment horizontal="left"/>
    </xf>
    <xf numFmtId="0" fontId="196" fillId="0" borderId="0" xfId="0" applyFont="1" applyFill="1" applyProtection="1"/>
    <xf numFmtId="1" fontId="7"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7"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7" fillId="0" borderId="0" xfId="0" applyNumberFormat="1" applyFont="1" applyAlignment="1" applyProtection="1">
      <alignment horizontal="center"/>
    </xf>
    <xf numFmtId="170" fontId="7" fillId="27" borderId="39" xfId="198" applyNumberFormat="1" applyFont="1" applyFill="1" applyBorder="1" applyAlignment="1" applyProtection="1">
      <alignment horizontal="center" wrapText="1"/>
    </xf>
    <xf numFmtId="170" fontId="84" fillId="0" borderId="0" xfId="0" applyNumberFormat="1" applyFont="1" applyFill="1" applyAlignment="1" applyProtection="1">
      <alignment horizontal="center"/>
    </xf>
    <xf numFmtId="0" fontId="84"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0" fontId="10"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43" fontId="196" fillId="0" borderId="6" xfId="0" applyNumberFormat="1" applyFont="1" applyFill="1" applyBorder="1" applyProtection="1"/>
    <xf numFmtId="0" fontId="10" fillId="0" borderId="6" xfId="0" applyFont="1" applyFill="1" applyBorder="1" applyProtection="1"/>
    <xf numFmtId="173" fontId="196" fillId="0" borderId="0" xfId="0" applyNumberFormat="1" applyFont="1" applyFill="1" applyAlignment="1" applyProtection="1">
      <alignment horizontal="left"/>
    </xf>
    <xf numFmtId="0" fontId="84" fillId="0" borderId="0" xfId="0" applyNumberFormat="1" applyFont="1" applyFill="1" applyAlignment="1" applyProtection="1">
      <alignment horizontal="center" wrapText="1"/>
    </xf>
    <xf numFmtId="0" fontId="84" fillId="0" borderId="0" xfId="0" applyFont="1" applyFill="1" applyAlignment="1" applyProtection="1">
      <alignment horizontal="center" wrapText="1"/>
    </xf>
    <xf numFmtId="173" fontId="84" fillId="0" borderId="0" xfId="0" applyNumberFormat="1" applyFont="1" applyFill="1" applyAlignment="1" applyProtection="1">
      <alignment horizontal="center" wrapText="1"/>
    </xf>
    <xf numFmtId="0" fontId="84" fillId="0" borderId="0" xfId="0" applyFont="1" applyFill="1" applyAlignment="1" applyProtection="1">
      <alignment horizontal="center"/>
    </xf>
    <xf numFmtId="173" fontId="84" fillId="0" borderId="0" xfId="0" applyNumberFormat="1" applyFont="1" applyFill="1" applyAlignment="1" applyProtection="1">
      <alignment horizontal="center"/>
    </xf>
    <xf numFmtId="0" fontId="84"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0" xfId="202" applyNumberFormat="1" applyFont="1" applyFill="1" applyBorder="1" applyProtection="1"/>
    <xf numFmtId="173" fontId="84" fillId="0" borderId="0" xfId="202" applyNumberFormat="1" applyFont="1" applyFill="1" applyProtection="1"/>
    <xf numFmtId="173" fontId="10" fillId="0" borderId="0" xfId="202" applyNumberFormat="1" applyFont="1" applyFill="1" applyProtection="1"/>
    <xf numFmtId="173" fontId="84" fillId="0" borderId="0" xfId="202" applyNumberFormat="1" applyFont="1" applyFill="1" applyBorder="1" applyAlignment="1" applyProtection="1">
      <alignment horizontal="center"/>
    </xf>
    <xf numFmtId="10" fontId="7" fillId="0" borderId="0" xfId="900" applyNumberFormat="1" applyFont="1" applyProtection="1"/>
    <xf numFmtId="0" fontId="197" fillId="0" borderId="0" xfId="0" applyFont="1" applyFill="1" applyProtection="1"/>
    <xf numFmtId="173" fontId="84" fillId="0" borderId="0" xfId="202" applyNumberFormat="1" applyFont="1" applyFill="1" applyAlignment="1" applyProtection="1">
      <alignment horizontal="center"/>
    </xf>
    <xf numFmtId="0" fontId="198" fillId="0" borderId="0" xfId="0" applyFont="1" applyFill="1" applyProtection="1"/>
    <xf numFmtId="173" fontId="84" fillId="0" borderId="0" xfId="0" applyNumberFormat="1" applyFont="1" applyFill="1" applyProtection="1"/>
    <xf numFmtId="43" fontId="7"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173" fontId="196" fillId="0" borderId="6" xfId="202" applyNumberFormat="1" applyFont="1" applyFill="1" applyBorder="1" applyProtection="1"/>
    <xf numFmtId="164" fontId="196" fillId="0" borderId="6" xfId="0" applyNumberFormat="1" applyFont="1" applyFill="1" applyBorder="1" applyAlignment="1" applyProtection="1">
      <alignment horizontal="center"/>
    </xf>
    <xf numFmtId="0" fontId="196" fillId="0" borderId="2" xfId="0" applyFont="1" applyFill="1" applyBorder="1" applyProtection="1"/>
    <xf numFmtId="0" fontId="10" fillId="0" borderId="2" xfId="0" applyFont="1" applyFill="1" applyBorder="1" applyProtection="1"/>
    <xf numFmtId="173" fontId="10" fillId="0" borderId="2" xfId="202" applyNumberFormat="1" applyFont="1" applyFill="1" applyBorder="1" applyProtection="1"/>
    <xf numFmtId="173" fontId="196" fillId="0" borderId="2" xfId="202" applyNumberFormat="1" applyFont="1" applyFill="1" applyBorder="1" applyProtection="1"/>
    <xf numFmtId="0" fontId="196" fillId="0" borderId="0" xfId="0" applyFont="1" applyFill="1" applyBorder="1" applyProtection="1"/>
    <xf numFmtId="0" fontId="10" fillId="0" borderId="0" xfId="0" applyFont="1" applyFill="1" applyBorder="1" applyProtection="1"/>
    <xf numFmtId="173" fontId="10" fillId="0" borderId="0" xfId="202" applyNumberFormat="1" applyFont="1" applyFill="1" applyBorder="1" applyProtection="1"/>
    <xf numFmtId="0" fontId="196" fillId="0" borderId="11" xfId="0" applyFont="1" applyFill="1" applyBorder="1" applyProtection="1"/>
    <xf numFmtId="0" fontId="10" fillId="0" borderId="11" xfId="0" applyFont="1" applyFill="1" applyBorder="1" applyProtection="1"/>
    <xf numFmtId="173" fontId="10" fillId="0" borderId="11" xfId="202" applyNumberFormat="1" applyFont="1" applyFill="1" applyBorder="1" applyProtection="1"/>
    <xf numFmtId="173" fontId="196" fillId="0" borderId="11" xfId="202" applyNumberFormat="1" applyFont="1" applyFill="1" applyBorder="1" applyProtection="1"/>
    <xf numFmtId="0" fontId="196" fillId="0" borderId="0" xfId="0" applyFont="1" applyFill="1" applyAlignment="1" applyProtection="1">
      <alignment wrapText="1"/>
    </xf>
    <xf numFmtId="43" fontId="7" fillId="0" borderId="0" xfId="775" applyNumberFormat="1" applyFont="1" applyFill="1" applyBorder="1" applyProtection="1"/>
    <xf numFmtId="0" fontId="11" fillId="0" borderId="0" xfId="0" applyFont="1" applyFill="1" applyAlignment="1" applyProtection="1"/>
    <xf numFmtId="0" fontId="197" fillId="0" borderId="0" xfId="0" applyFont="1" applyFill="1" applyAlignment="1" applyProtection="1">
      <alignment horizontal="left"/>
    </xf>
    <xf numFmtId="173" fontId="196" fillId="0" borderId="6" xfId="275" applyNumberFormat="1" applyFont="1" applyFill="1" applyBorder="1" applyProtection="1"/>
    <xf numFmtId="0" fontId="196" fillId="0" borderId="6" xfId="0" applyNumberFormat="1" applyFont="1" applyFill="1" applyBorder="1" applyProtection="1"/>
    <xf numFmtId="0" fontId="7" fillId="0" borderId="2" xfId="0" applyFont="1" applyBorder="1" applyProtection="1"/>
    <xf numFmtId="0" fontId="7" fillId="0" borderId="0" xfId="0" applyFont="1" applyBorder="1" applyProtection="1"/>
    <xf numFmtId="0" fontId="7" fillId="0" borderId="11" xfId="0" applyFont="1" applyBorder="1" applyProtection="1"/>
    <xf numFmtId="0" fontId="10" fillId="0" borderId="0" xfId="862" applyFont="1" applyAlignment="1" applyProtection="1"/>
    <xf numFmtId="0" fontId="18" fillId="0" borderId="0" xfId="862" applyFont="1" applyAlignment="1" applyProtection="1"/>
    <xf numFmtId="174" fontId="18" fillId="0" borderId="0" xfId="862" applyNumberFormat="1" applyFont="1" applyBorder="1" applyAlignment="1" applyProtection="1"/>
    <xf numFmtId="1" fontId="18" fillId="0" borderId="0" xfId="862" applyNumberFormat="1" applyFont="1" applyAlignment="1" applyProtection="1">
      <alignment horizontal="left"/>
    </xf>
    <xf numFmtId="0" fontId="18" fillId="0" borderId="0" xfId="862" quotePrefix="1" applyFont="1" applyAlignment="1" applyProtection="1">
      <alignment horizontal="left"/>
    </xf>
    <xf numFmtId="1" fontId="18" fillId="0" borderId="0" xfId="862" applyNumberFormat="1" applyFont="1" applyAlignment="1" applyProtection="1">
      <alignment horizontal="center"/>
    </xf>
    <xf numFmtId="14" fontId="18" fillId="0" borderId="0" xfId="862" quotePrefix="1" applyNumberFormat="1" applyFont="1" applyAlignment="1" applyProtection="1">
      <alignment horizontal="left"/>
    </xf>
    <xf numFmtId="43" fontId="18" fillId="0" borderId="0" xfId="862" applyNumberFormat="1" applyFont="1" applyAlignment="1" applyProtection="1"/>
    <xf numFmtId="0" fontId="18" fillId="0" borderId="0" xfId="862" quotePrefix="1" applyFont="1" applyBorder="1" applyAlignment="1" applyProtection="1">
      <alignment horizontal="left"/>
    </xf>
    <xf numFmtId="43" fontId="18" fillId="0" borderId="0" xfId="862" applyNumberFormat="1" applyFont="1" applyBorder="1" applyAlignment="1" applyProtection="1"/>
    <xf numFmtId="0" fontId="200" fillId="0" borderId="0" xfId="862" applyFont="1" applyAlignment="1" applyProtection="1"/>
    <xf numFmtId="0" fontId="18" fillId="0" borderId="0" xfId="862" applyFont="1" applyAlignment="1" applyProtection="1">
      <alignment horizontal="left"/>
    </xf>
    <xf numFmtId="0" fontId="18" fillId="0" borderId="0" xfId="862" applyFont="1" applyBorder="1" applyAlignment="1" applyProtection="1"/>
    <xf numFmtId="10" fontId="18" fillId="0" borderId="0" xfId="862" applyNumberFormat="1" applyFont="1" applyBorder="1" applyAlignment="1" applyProtection="1"/>
    <xf numFmtId="164" fontId="18" fillId="0" borderId="0" xfId="862" applyNumberFormat="1" applyFont="1" applyAlignment="1" applyProtection="1"/>
    <xf numFmtId="0" fontId="196" fillId="0" borderId="0" xfId="0" applyFont="1" applyFill="1" applyBorder="1" applyAlignment="1" applyProtection="1">
      <alignment wrapText="1"/>
    </xf>
    <xf numFmtId="49" fontId="10" fillId="0" borderId="0" xfId="791" applyNumberFormat="1" applyFont="1" applyFill="1" applyBorder="1" applyAlignment="1" applyProtection="1">
      <alignment horizontal="center"/>
    </xf>
    <xf numFmtId="3" fontId="10" fillId="0" borderId="0" xfId="0" applyNumberFormat="1" applyFont="1" applyFill="1" applyBorder="1" applyAlignment="1" applyProtection="1">
      <alignment horizontal="center"/>
    </xf>
    <xf numFmtId="49" fontId="10" fillId="0" borderId="0" xfId="791" applyNumberFormat="1" applyFont="1" applyFill="1" applyBorder="1" applyAlignment="1" applyProtection="1">
      <alignment horizontal="left"/>
    </xf>
    <xf numFmtId="0" fontId="7" fillId="0" borderId="0" xfId="791" applyFont="1" applyFill="1" applyBorder="1" applyAlignment="1" applyProtection="1">
      <alignment horizontal="center"/>
    </xf>
    <xf numFmtId="0" fontId="12" fillId="0" borderId="0" xfId="791" quotePrefix="1" applyFont="1" applyFill="1" applyBorder="1" applyAlignment="1" applyProtection="1">
      <alignment horizontal="center"/>
    </xf>
    <xf numFmtId="0" fontId="20" fillId="0" borderId="0" xfId="791" quotePrefix="1" applyFont="1" applyFill="1" applyBorder="1" applyAlignment="1" applyProtection="1">
      <alignment horizontal="center"/>
    </xf>
    <xf numFmtId="0" fontId="20" fillId="0" borderId="0" xfId="879" applyFont="1" applyFill="1" applyAlignment="1" applyProtection="1">
      <alignment horizontal="center"/>
    </xf>
    <xf numFmtId="190" fontId="20" fillId="0" borderId="0" xfId="791" applyNumberFormat="1" applyFont="1" applyFill="1" applyBorder="1" applyAlignment="1" applyProtection="1">
      <alignment horizontal="center"/>
    </xf>
    <xf numFmtId="14" fontId="7" fillId="0" borderId="0" xfId="791" applyNumberFormat="1" applyFont="1" applyFill="1" applyBorder="1" applyAlignment="1" applyProtection="1">
      <alignment horizontal="center" wrapText="1"/>
    </xf>
    <xf numFmtId="0" fontId="7" fillId="0" borderId="0" xfId="791" applyFont="1" applyFill="1" applyBorder="1" applyAlignment="1" applyProtection="1">
      <alignment horizontal="center" wrapText="1"/>
    </xf>
    <xf numFmtId="173" fontId="7" fillId="27" borderId="0" xfId="0" applyNumberFormat="1" applyFont="1" applyFill="1" applyBorder="1" applyProtection="1"/>
    <xf numFmtId="0" fontId="7" fillId="27" borderId="0" xfId="198" quotePrefix="1" applyNumberFormat="1" applyFont="1" applyFill="1" applyBorder="1" applyAlignment="1" applyProtection="1">
      <alignment horizontal="center"/>
    </xf>
    <xf numFmtId="173" fontId="7" fillId="0" borderId="0" xfId="198" applyNumberFormat="1" applyFont="1" applyFill="1" applyProtection="1"/>
    <xf numFmtId="0" fontId="7" fillId="0" borderId="0" xfId="760" applyFont="1" applyFill="1" applyProtection="1"/>
    <xf numFmtId="3" fontId="7" fillId="0" borderId="0" xfId="0" applyNumberFormat="1" applyFont="1" applyFill="1" applyProtection="1"/>
    <xf numFmtId="0" fontId="7" fillId="0" borderId="2" xfId="791" applyFont="1" applyFill="1" applyBorder="1" applyProtection="1"/>
    <xf numFmtId="173" fontId="7" fillId="0" borderId="2" xfId="791" applyNumberFormat="1" applyFont="1" applyFill="1" applyBorder="1" applyProtection="1"/>
    <xf numFmtId="0" fontId="20" fillId="0" borderId="11" xfId="0" applyFont="1" applyFill="1" applyBorder="1" applyAlignment="1" applyProtection="1">
      <alignment horizontal="center"/>
    </xf>
    <xf numFmtId="1" fontId="7" fillId="0" borderId="0" xfId="0" applyNumberFormat="1" applyFont="1" applyFill="1" applyAlignment="1" applyProtection="1">
      <alignment horizontal="center"/>
    </xf>
    <xf numFmtId="43" fontId="7" fillId="0" borderId="0" xfId="202" applyFont="1" applyFill="1" applyBorder="1" applyProtection="1"/>
    <xf numFmtId="43" fontId="80" fillId="0" borderId="0" xfId="202" applyFont="1" applyFill="1" applyBorder="1" applyProtection="1"/>
    <xf numFmtId="43" fontId="10" fillId="0" borderId="0" xfId="202" applyFont="1" applyFill="1" applyBorder="1" applyProtection="1"/>
    <xf numFmtId="43" fontId="12" fillId="0" borderId="0" xfId="202" applyFont="1" applyFill="1" applyBorder="1" applyProtection="1"/>
    <xf numFmtId="1" fontId="7" fillId="0" borderId="0" xfId="791" applyNumberFormat="1" applyFont="1" applyFill="1" applyBorder="1" applyAlignment="1" applyProtection="1">
      <alignment horizontal="center"/>
    </xf>
    <xf numFmtId="43" fontId="7" fillId="27" borderId="0" xfId="202" applyFont="1" applyFill="1" applyBorder="1" applyProtection="1"/>
    <xf numFmtId="43" fontId="80" fillId="27" borderId="0" xfId="202" applyFont="1" applyFill="1" applyBorder="1" applyProtection="1"/>
    <xf numFmtId="43" fontId="7" fillId="27" borderId="0" xfId="202" applyFont="1" applyFill="1" applyBorder="1" applyAlignment="1" applyProtection="1">
      <alignment horizontal="center"/>
    </xf>
    <xf numFmtId="0" fontId="7" fillId="27" borderId="0" xfId="202" applyNumberFormat="1" applyFont="1" applyFill="1" applyBorder="1" applyAlignment="1" applyProtection="1">
      <alignment horizontal="center"/>
    </xf>
    <xf numFmtId="173" fontId="7" fillId="27" borderId="0" xfId="202" applyNumberFormat="1" applyFont="1" applyFill="1" applyBorder="1" applyProtection="1"/>
    <xf numFmtId="0" fontId="7" fillId="27" borderId="0" xfId="202" quotePrefix="1" applyNumberFormat="1" applyFont="1" applyFill="1" applyBorder="1" applyAlignment="1" applyProtection="1">
      <alignment horizontal="center"/>
    </xf>
    <xf numFmtId="43" fontId="7" fillId="0" borderId="2" xfId="202" applyFont="1" applyFill="1" applyBorder="1" applyProtection="1"/>
    <xf numFmtId="43" fontId="80" fillId="0" borderId="2" xfId="202" applyFont="1" applyFill="1" applyBorder="1" applyProtection="1"/>
    <xf numFmtId="0" fontId="7" fillId="0" borderId="2" xfId="202" applyNumberFormat="1" applyFont="1" applyFill="1" applyBorder="1" applyAlignment="1" applyProtection="1">
      <alignment horizontal="center"/>
    </xf>
    <xf numFmtId="173" fontId="7" fillId="0" borderId="2" xfId="202" applyNumberFormat="1" applyFont="1" applyFill="1" applyBorder="1" applyProtection="1"/>
    <xf numFmtId="0" fontId="7" fillId="0" borderId="0" xfId="202" applyNumberFormat="1" applyFont="1" applyFill="1" applyBorder="1" applyAlignment="1" applyProtection="1">
      <alignment horizontal="center"/>
    </xf>
    <xf numFmtId="173" fontId="7" fillId="0" borderId="0" xfId="202" applyNumberFormat="1" applyFont="1" applyFill="1" applyBorder="1" applyProtection="1"/>
    <xf numFmtId="0" fontId="195" fillId="0" borderId="0" xfId="791" applyFont="1" applyFill="1" applyBorder="1" applyProtection="1"/>
    <xf numFmtId="0" fontId="7" fillId="0" borderId="11" xfId="791" applyFont="1" applyFill="1" applyBorder="1" applyProtection="1"/>
    <xf numFmtId="0" fontId="7" fillId="0" borderId="11" xfId="791" applyFont="1" applyFill="1" applyBorder="1" applyAlignment="1" applyProtection="1">
      <alignment horizontal="center" wrapText="1"/>
    </xf>
    <xf numFmtId="190" fontId="20" fillId="0" borderId="11" xfId="791" applyNumberFormat="1" applyFont="1" applyFill="1" applyBorder="1" applyAlignment="1" applyProtection="1">
      <alignment horizontal="center" wrapText="1"/>
    </xf>
    <xf numFmtId="0" fontId="20" fillId="0" borderId="11" xfId="791" quotePrefix="1" applyFont="1" applyFill="1" applyBorder="1" applyAlignment="1" applyProtection="1">
      <alignment horizontal="center" wrapText="1"/>
    </xf>
    <xf numFmtId="14" fontId="7" fillId="27" borderId="0" xfId="202" applyNumberFormat="1" applyFont="1" applyFill="1" applyBorder="1" applyAlignment="1" applyProtection="1">
      <alignment horizontal="center"/>
    </xf>
    <xf numFmtId="1" fontId="7" fillId="27" borderId="0" xfId="198" applyNumberFormat="1" applyFont="1" applyFill="1" applyBorder="1" applyAlignment="1" applyProtection="1">
      <alignment horizontal="center"/>
    </xf>
    <xf numFmtId="173" fontId="7" fillId="27" borderId="0" xfId="198" applyNumberFormat="1" applyFont="1" applyFill="1" applyBorder="1" applyProtection="1"/>
    <xf numFmtId="173" fontId="7" fillId="0" borderId="0" xfId="198" applyNumberFormat="1" applyFont="1" applyFill="1" applyBorder="1" applyProtection="1"/>
    <xf numFmtId="173" fontId="7" fillId="27" borderId="0" xfId="202" applyNumberFormat="1" applyFont="1" applyFill="1" applyBorder="1" applyAlignment="1" applyProtection="1">
      <alignment horizontal="center"/>
    </xf>
    <xf numFmtId="181" fontId="7" fillId="27" borderId="0" xfId="202" applyNumberFormat="1" applyFont="1" applyFill="1" applyBorder="1" applyProtection="1"/>
    <xf numFmtId="181" fontId="7" fillId="27" borderId="0" xfId="202" applyNumberFormat="1" applyFont="1" applyFill="1" applyBorder="1" applyAlignment="1" applyProtection="1">
      <alignment horizontal="center"/>
    </xf>
    <xf numFmtId="173" fontId="7" fillId="0" borderId="2" xfId="198" applyNumberFormat="1" applyFont="1" applyFill="1" applyBorder="1" applyProtection="1"/>
    <xf numFmtId="3" fontId="57" fillId="0" borderId="0" xfId="760" applyNumberFormat="1" applyFont="1" applyFill="1" applyAlignment="1" applyProtection="1"/>
    <xf numFmtId="3" fontId="57" fillId="0" borderId="0" xfId="760" applyNumberFormat="1" applyFont="1" applyFill="1" applyAlignment="1" applyProtection="1">
      <alignment horizontal="center" vertical="top" wrapText="1"/>
    </xf>
    <xf numFmtId="3" fontId="57" fillId="0" borderId="0" xfId="760" applyNumberFormat="1" applyFont="1" applyFill="1" applyAlignment="1" applyProtection="1">
      <alignment wrapText="1"/>
    </xf>
    <xf numFmtId="3" fontId="57" fillId="0" borderId="0" xfId="760" applyNumberFormat="1" applyFont="1" applyFill="1" applyAlignment="1" applyProtection="1">
      <alignment horizontal="left" vertical="top" wrapText="1"/>
    </xf>
    <xf numFmtId="3" fontId="57" fillId="0" borderId="0" xfId="760" applyNumberFormat="1" applyFont="1" applyFill="1" applyAlignment="1" applyProtection="1">
      <alignment horizontal="left" wrapText="1"/>
    </xf>
    <xf numFmtId="0" fontId="10" fillId="0" borderId="0" xfId="799" applyFont="1" applyAlignment="1" applyProtection="1"/>
    <xf numFmtId="0" fontId="7" fillId="0" borderId="0" xfId="799" applyFont="1" applyProtection="1"/>
    <xf numFmtId="0" fontId="10" fillId="0" borderId="0" xfId="799" applyFont="1" applyFill="1" applyAlignment="1" applyProtection="1">
      <alignment horizontal="center"/>
    </xf>
    <xf numFmtId="0" fontId="10" fillId="0" borderId="0" xfId="1172" applyFont="1" applyFill="1" applyBorder="1" applyAlignment="1" applyProtection="1">
      <alignment horizontal="center"/>
    </xf>
    <xf numFmtId="3" fontId="11" fillId="0" borderId="0" xfId="799" applyNumberFormat="1" applyFont="1" applyFill="1" applyAlignment="1" applyProtection="1">
      <alignment horizontal="center"/>
    </xf>
    <xf numFmtId="0" fontId="11" fillId="0" borderId="0" xfId="799" applyFont="1" applyAlignment="1" applyProtection="1">
      <alignment horizontal="center"/>
    </xf>
    <xf numFmtId="0" fontId="11" fillId="0" borderId="0" xfId="799" applyFont="1" applyAlignment="1" applyProtection="1"/>
    <xf numFmtId="0" fontId="10" fillId="0" borderId="0" xfId="799" applyFont="1" applyAlignment="1" applyProtection="1">
      <alignment horizontal="right"/>
    </xf>
    <xf numFmtId="0" fontId="10" fillId="0" borderId="0" xfId="799" applyFont="1" applyProtection="1"/>
    <xf numFmtId="0" fontId="17" fillId="0" borderId="0" xfId="799" applyFont="1" applyAlignment="1" applyProtection="1">
      <alignment horizontal="center" wrapText="1"/>
    </xf>
    <xf numFmtId="0" fontId="17" fillId="0" borderId="0" xfId="799" applyFont="1" applyAlignment="1" applyProtection="1">
      <alignment horizontal="center"/>
    </xf>
    <xf numFmtId="0" fontId="10" fillId="0" borderId="0" xfId="799" applyFont="1" applyAlignment="1" applyProtection="1">
      <alignment horizontal="center"/>
    </xf>
    <xf numFmtId="10" fontId="10" fillId="0" borderId="0" xfId="799" applyNumberFormat="1" applyFont="1" applyAlignment="1" applyProtection="1">
      <alignment horizontal="center"/>
    </xf>
    <xf numFmtId="198" fontId="10" fillId="0" borderId="0" xfId="799" applyNumberFormat="1" applyFont="1" applyAlignment="1" applyProtection="1">
      <alignment horizontal="center"/>
    </xf>
    <xf numFmtId="10" fontId="10" fillId="0" borderId="0" xfId="799" applyNumberFormat="1" applyFont="1" applyProtection="1"/>
    <xf numFmtId="2" fontId="10" fillId="0" borderId="0" xfId="799" applyNumberFormat="1" applyFont="1" applyAlignment="1" applyProtection="1">
      <alignment horizontal="center"/>
    </xf>
    <xf numFmtId="179" fontId="11" fillId="0" borderId="0" xfId="198" applyNumberFormat="1" applyFont="1" applyFill="1" applyAlignment="1" applyProtection="1"/>
    <xf numFmtId="41" fontId="10" fillId="0" borderId="0" xfId="1176" applyNumberFormat="1" applyFont="1" applyFill="1" applyProtection="1"/>
    <xf numFmtId="0" fontId="159" fillId="0" borderId="0" xfId="1528" applyNumberFormat="1" applyFont="1" applyAlignment="1" applyProtection="1"/>
    <xf numFmtId="0" fontId="7" fillId="0" borderId="0" xfId="1528" applyFont="1" applyAlignment="1" applyProtection="1"/>
    <xf numFmtId="0" fontId="10" fillId="0" borderId="0" xfId="1409" applyFont="1" applyFill="1" applyBorder="1" applyAlignment="1" applyProtection="1"/>
    <xf numFmtId="0" fontId="7" fillId="0" borderId="0" xfId="1528" applyNumberFormat="1" applyFont="1" applyAlignment="1" applyProtection="1">
      <alignment horizontal="center"/>
    </xf>
    <xf numFmtId="0" fontId="7" fillId="0" borderId="0" xfId="1528" applyFont="1" applyAlignment="1" applyProtection="1">
      <alignment horizontal="right"/>
    </xf>
    <xf numFmtId="0" fontId="11" fillId="0" borderId="0" xfId="1409" applyFont="1" applyFill="1" applyBorder="1" applyAlignment="1" applyProtection="1"/>
    <xf numFmtId="0" fontId="7" fillId="0" borderId="0" xfId="1173" applyFont="1" applyFill="1" applyAlignment="1" applyProtection="1">
      <alignment horizontal="left"/>
    </xf>
    <xf numFmtId="0" fontId="12" fillId="0" borderId="0" xfId="1173" applyFont="1" applyAlignment="1" applyProtection="1">
      <alignment horizontal="center"/>
    </xf>
    <xf numFmtId="0" fontId="7" fillId="0" borderId="0" xfId="1528" applyFont="1" applyProtection="1"/>
    <xf numFmtId="0" fontId="7" fillId="0" borderId="53" xfId="1528" applyNumberFormat="1" applyFont="1" applyBorder="1" applyAlignment="1" applyProtection="1">
      <alignment horizontal="center" wrapText="1"/>
    </xf>
    <xf numFmtId="0" fontId="12" fillId="0" borderId="50" xfId="1173" applyFont="1" applyBorder="1" applyAlignment="1" applyProtection="1">
      <alignment horizontal="center" wrapText="1"/>
    </xf>
    <xf numFmtId="0" fontId="7" fillId="0" borderId="0" xfId="1528" applyFont="1" applyAlignment="1" applyProtection="1">
      <alignment wrapText="1"/>
    </xf>
    <xf numFmtId="0" fontId="7" fillId="0" borderId="51" xfId="1528" applyNumberFormat="1" applyFont="1" applyBorder="1" applyAlignment="1" applyProtection="1">
      <alignment horizontal="center"/>
    </xf>
    <xf numFmtId="0" fontId="161" fillId="0" borderId="0" xfId="1528" applyFont="1" applyAlignment="1" applyProtection="1"/>
    <xf numFmtId="3" fontId="23" fillId="0" borderId="49" xfId="1409" applyNumberFormat="1" applyFont="1" applyFill="1" applyBorder="1" applyAlignment="1" applyProtection="1">
      <alignment horizontal="center" wrapText="1"/>
    </xf>
    <xf numFmtId="3" fontId="23" fillId="0" borderId="11" xfId="1409" applyNumberFormat="1" applyFont="1" applyFill="1" applyBorder="1" applyAlignment="1" applyProtection="1">
      <alignment horizontal="center" wrapText="1"/>
    </xf>
    <xf numFmtId="3" fontId="23" fillId="0" borderId="48" xfId="1409" applyNumberFormat="1" applyFont="1" applyFill="1" applyBorder="1" applyAlignment="1" applyProtection="1">
      <alignment horizontal="center" wrapText="1"/>
    </xf>
    <xf numFmtId="0" fontId="7" fillId="0" borderId="49" xfId="1528" applyNumberFormat="1" applyFont="1" applyBorder="1" applyAlignment="1" applyProtection="1">
      <alignment horizontal="center"/>
    </xf>
    <xf numFmtId="0" fontId="7" fillId="0" borderId="66" xfId="1528" applyNumberFormat="1" applyFont="1" applyBorder="1" applyAlignment="1" applyProtection="1">
      <alignment horizontal="center"/>
    </xf>
    <xf numFmtId="0" fontId="7" fillId="0" borderId="0" xfId="1523" applyFont="1" applyProtection="1"/>
    <xf numFmtId="0" fontId="12" fillId="0" borderId="0" xfId="1173" applyFont="1" applyProtection="1"/>
    <xf numFmtId="0" fontId="7" fillId="0" borderId="0" xfId="1528" applyNumberFormat="1" applyFont="1" applyBorder="1" applyAlignment="1" applyProtection="1">
      <alignment horizontal="center" wrapText="1"/>
    </xf>
    <xf numFmtId="0" fontId="12" fillId="0" borderId="11" xfId="1173" applyFont="1" applyBorder="1" applyProtection="1"/>
    <xf numFmtId="0" fontId="12" fillId="0" borderId="11" xfId="1173" applyFont="1" applyBorder="1" applyAlignment="1" applyProtection="1">
      <alignment horizontal="center" wrapText="1"/>
    </xf>
    <xf numFmtId="0" fontId="12" fillId="0" borderId="2" xfId="1173" applyFont="1" applyBorder="1" applyAlignment="1" applyProtection="1">
      <alignment horizontal="center"/>
    </xf>
    <xf numFmtId="0" fontId="7" fillId="0" borderId="0" xfId="1528" applyAlignment="1" applyProtection="1">
      <alignment horizontal="center"/>
    </xf>
    <xf numFmtId="0" fontId="7" fillId="0" borderId="15" xfId="1528" applyFont="1" applyBorder="1" applyAlignment="1" applyProtection="1"/>
    <xf numFmtId="173" fontId="7" fillId="0" borderId="15" xfId="1528" applyNumberFormat="1" applyFont="1" applyBorder="1" applyAlignment="1" applyProtection="1"/>
    <xf numFmtId="0" fontId="161" fillId="0" borderId="0" xfId="1528" applyNumberFormat="1" applyFont="1" applyAlignment="1" applyProtection="1">
      <alignment horizontal="center"/>
    </xf>
    <xf numFmtId="0" fontId="16" fillId="0" borderId="0" xfId="1528" applyNumberFormat="1" applyFont="1" applyAlignment="1" applyProtection="1">
      <alignment horizontal="center"/>
    </xf>
    <xf numFmtId="0" fontId="7" fillId="0" borderId="0" xfId="1528" applyProtection="1"/>
    <xf numFmtId="0" fontId="7" fillId="0" borderId="48" xfId="1173" applyFont="1" applyBorder="1" applyAlignment="1" applyProtection="1">
      <alignment horizontal="left"/>
    </xf>
    <xf numFmtId="0" fontId="12" fillId="0" borderId="0" xfId="1173" applyFont="1" applyBorder="1" applyAlignment="1" applyProtection="1">
      <alignment wrapText="1"/>
    </xf>
    <xf numFmtId="10" fontId="18" fillId="0" borderId="0" xfId="1429" applyNumberFormat="1" applyFont="1" applyFill="1" applyAlignment="1" applyProtection="1">
      <alignment horizontal="center"/>
    </xf>
    <xf numFmtId="0" fontId="57" fillId="0" borderId="11" xfId="1409" applyFont="1" applyFill="1" applyBorder="1" applyProtection="1"/>
    <xf numFmtId="173" fontId="57" fillId="0" borderId="11" xfId="1201" applyNumberFormat="1" applyFont="1" applyFill="1" applyBorder="1" applyAlignment="1" applyProtection="1">
      <alignment horizontal="center"/>
    </xf>
    <xf numFmtId="0" fontId="57" fillId="0" borderId="0" xfId="1409" applyFont="1" applyAlignment="1" applyProtection="1">
      <alignment horizontal="center"/>
    </xf>
    <xf numFmtId="0" fontId="34" fillId="0" borderId="0" xfId="1409" applyFont="1" applyAlignment="1" applyProtection="1"/>
    <xf numFmtId="0" fontId="57" fillId="0" borderId="0" xfId="1409" applyFont="1" applyProtection="1"/>
    <xf numFmtId="0" fontId="7" fillId="0" borderId="0" xfId="878" applyFont="1" applyFill="1" applyAlignment="1" applyProtection="1">
      <alignment horizontal="center"/>
    </xf>
    <xf numFmtId="0" fontId="7" fillId="0" borderId="0" xfId="878" applyFont="1" applyFill="1" applyProtection="1"/>
    <xf numFmtId="38" fontId="7" fillId="0" borderId="0" xfId="0" quotePrefix="1" applyNumberFormat="1" applyFont="1" applyFill="1" applyBorder="1" applyAlignment="1" applyProtection="1">
      <alignment horizontal="center"/>
    </xf>
    <xf numFmtId="41" fontId="7" fillId="0" borderId="0" xfId="878" applyNumberFormat="1" applyFont="1" applyFill="1" applyBorder="1" applyProtection="1"/>
    <xf numFmtId="0" fontId="7" fillId="0" borderId="0" xfId="878" applyFont="1" applyFill="1" applyAlignment="1" applyProtection="1">
      <alignment horizontal="center" vertical="top"/>
    </xf>
    <xf numFmtId="41" fontId="7" fillId="0" borderId="11" xfId="878" applyNumberFormat="1" applyFont="1" applyFill="1" applyBorder="1" applyProtection="1"/>
    <xf numFmtId="41" fontId="7" fillId="0" borderId="11" xfId="878" applyNumberFormat="1" applyFont="1" applyFill="1" applyBorder="1" applyAlignment="1" applyProtection="1">
      <alignment vertical="top"/>
    </xf>
    <xf numFmtId="41" fontId="7" fillId="0" borderId="0" xfId="878" applyNumberFormat="1" applyFont="1" applyFill="1" applyProtection="1"/>
    <xf numFmtId="37" fontId="7" fillId="0" borderId="0" xfId="878" applyNumberFormat="1" applyFont="1" applyFill="1" applyProtection="1"/>
    <xf numFmtId="37" fontId="7" fillId="0" borderId="0" xfId="0" applyNumberFormat="1" applyFont="1" applyFill="1" applyProtection="1"/>
    <xf numFmtId="38" fontId="7" fillId="0" borderId="0" xfId="0" applyNumberFormat="1" applyFont="1" applyFill="1" applyProtection="1"/>
    <xf numFmtId="0" fontId="86" fillId="0" borderId="0" xfId="878" applyFont="1" applyFill="1" applyAlignment="1" applyProtection="1">
      <alignment horizontal="center"/>
    </xf>
    <xf numFmtId="0" fontId="12" fillId="0" borderId="0" xfId="1176" quotePrefix="1" applyFont="1" applyFill="1" applyBorder="1" applyProtection="1"/>
    <xf numFmtId="41" fontId="86" fillId="0" borderId="0" xfId="878" applyNumberFormat="1" applyFont="1" applyFill="1" applyProtection="1"/>
    <xf numFmtId="37" fontId="7" fillId="0" borderId="14" xfId="0" applyNumberFormat="1" applyFont="1" applyFill="1" applyBorder="1" applyProtection="1"/>
    <xf numFmtId="37" fontId="7" fillId="0" borderId="0" xfId="878" applyNumberFormat="1" applyFont="1" applyFill="1" applyAlignment="1" applyProtection="1">
      <alignment vertical="center"/>
    </xf>
    <xf numFmtId="37" fontId="7" fillId="0" borderId="0" xfId="878" applyNumberFormat="1" applyFont="1" applyFill="1" applyBorder="1" applyProtection="1"/>
    <xf numFmtId="185" fontId="7" fillId="0" borderId="0" xfId="0" quotePrefix="1" applyNumberFormat="1" applyFont="1" applyFill="1" applyBorder="1" applyAlignment="1" applyProtection="1">
      <alignment horizontal="center"/>
    </xf>
    <xf numFmtId="0" fontId="7" fillId="0" borderId="0" xfId="878" applyFont="1" applyFill="1" applyAlignment="1" applyProtection="1"/>
    <xf numFmtId="185" fontId="7" fillId="0" borderId="0" xfId="0" applyNumberFormat="1" applyFont="1" applyFill="1" applyBorder="1" applyAlignment="1" applyProtection="1">
      <alignment horizontal="center"/>
    </xf>
    <xf numFmtId="38" fontId="7" fillId="0" borderId="0" xfId="0" applyNumberFormat="1" applyFont="1" applyFill="1" applyBorder="1" applyAlignment="1" applyProtection="1">
      <alignment horizontal="left"/>
    </xf>
    <xf numFmtId="43" fontId="7" fillId="27" borderId="0" xfId="198" applyFont="1" applyFill="1" applyBorder="1" applyProtection="1"/>
    <xf numFmtId="43" fontId="7" fillId="0" borderId="0" xfId="198" applyFont="1" applyFill="1" applyProtection="1"/>
    <xf numFmtId="43" fontId="7" fillId="0" borderId="0" xfId="1201" applyFont="1" applyFill="1" applyBorder="1" applyAlignment="1" applyProtection="1">
      <alignment horizontal="left"/>
    </xf>
    <xf numFmtId="173" fontId="87" fillId="27" borderId="0" xfId="1201" applyNumberFormat="1" applyFont="1" applyFill="1" applyBorder="1" applyProtection="1"/>
    <xf numFmtId="43" fontId="87" fillId="27" borderId="0" xfId="1201" applyFont="1" applyFill="1" applyBorder="1" applyAlignment="1" applyProtection="1">
      <alignment horizontal="center"/>
    </xf>
    <xf numFmtId="37" fontId="7" fillId="0" borderId="0" xfId="1201" applyNumberFormat="1" applyFont="1" applyFill="1" applyProtection="1"/>
    <xf numFmtId="43" fontId="7" fillId="0" borderId="0" xfId="1529" applyBorder="1" applyAlignment="1" applyProtection="1">
      <alignment horizontal="left"/>
    </xf>
    <xf numFmtId="43" fontId="87" fillId="27" borderId="0" xfId="198" applyFont="1" applyFill="1" applyBorder="1" applyAlignment="1" applyProtection="1">
      <alignment horizontal="left"/>
    </xf>
    <xf numFmtId="43" fontId="7" fillId="0" borderId="0" xfId="198" applyFont="1" applyFill="1" applyBorder="1" applyAlignment="1" applyProtection="1">
      <alignment horizontal="left"/>
    </xf>
    <xf numFmtId="0" fontId="7" fillId="0" borderId="0" xfId="0" quotePrefix="1" applyFont="1" applyFill="1" applyBorder="1" applyAlignment="1" applyProtection="1">
      <alignment horizontal="left" wrapText="1"/>
    </xf>
    <xf numFmtId="37" fontId="7" fillId="0" borderId="0" xfId="0" applyNumberFormat="1" applyFont="1" applyFill="1" applyAlignment="1" applyProtection="1">
      <alignment horizontal="left"/>
    </xf>
    <xf numFmtId="37" fontId="7" fillId="0" borderId="0" xfId="198" applyNumberFormat="1" applyFont="1" applyFill="1" applyProtection="1"/>
    <xf numFmtId="43" fontId="7" fillId="0" borderId="0" xfId="1530" applyFill="1" applyBorder="1" applyAlignment="1" applyProtection="1">
      <alignment horizontal="left"/>
    </xf>
    <xf numFmtId="0" fontId="0" fillId="0" borderId="0" xfId="0" applyBorder="1" applyAlignment="1" applyProtection="1">
      <alignment horizontal="left"/>
    </xf>
    <xf numFmtId="173" fontId="7" fillId="0" borderId="0" xfId="0" applyNumberFormat="1" applyFont="1" applyFill="1" applyProtection="1"/>
    <xf numFmtId="200" fontId="7" fillId="0" borderId="0" xfId="198" applyNumberFormat="1" applyFont="1" applyFill="1" applyProtection="1"/>
    <xf numFmtId="43" fontId="7" fillId="0" borderId="0" xfId="1531" applyFill="1" applyBorder="1" applyAlignment="1" applyProtection="1">
      <alignment horizontal="left"/>
    </xf>
    <xf numFmtId="1" fontId="7" fillId="0" borderId="0" xfId="0" applyNumberFormat="1" applyFont="1" applyFill="1" applyAlignment="1" applyProtection="1">
      <alignment horizontal="left"/>
    </xf>
    <xf numFmtId="173" fontId="87" fillId="0" borderId="0" xfId="1201" applyNumberFormat="1" applyFont="1" applyFill="1" applyBorder="1" applyProtection="1"/>
    <xf numFmtId="43" fontId="7" fillId="0" borderId="0" xfId="198" applyFont="1" applyFill="1" applyBorder="1" applyProtection="1"/>
    <xf numFmtId="0" fontId="7" fillId="0" borderId="0" xfId="0" applyFont="1" applyFill="1" applyAlignment="1" applyProtection="1">
      <alignment horizontal="left"/>
    </xf>
    <xf numFmtId="37" fontId="7" fillId="0" borderId="0" xfId="1183" applyNumberFormat="1" applyFill="1" applyProtection="1"/>
    <xf numFmtId="0" fontId="21" fillId="0" borderId="0" xfId="1409" applyFont="1" applyFill="1" applyBorder="1" applyAlignment="1" applyProtection="1"/>
    <xf numFmtId="3" fontId="7" fillId="0" borderId="0" xfId="1532" applyFont="1" applyFill="1" applyBorder="1" applyProtection="1"/>
    <xf numFmtId="3" fontId="7" fillId="0" borderId="0" xfId="1532" applyFont="1" applyFill="1" applyBorder="1" applyAlignment="1" applyProtection="1">
      <alignment wrapText="1"/>
    </xf>
    <xf numFmtId="3" fontId="7" fillId="0" borderId="0" xfId="1532" applyFont="1" applyFill="1" applyBorder="1" applyAlignment="1" applyProtection="1">
      <alignment horizontal="left" wrapText="1"/>
    </xf>
    <xf numFmtId="3" fontId="16" fillId="0" borderId="0" xfId="1532" applyFont="1" applyFill="1" applyBorder="1" applyAlignment="1" applyProtection="1">
      <alignment horizontal="left"/>
    </xf>
    <xf numFmtId="3" fontId="7" fillId="0" borderId="0" xfId="1532" applyFont="1" applyFill="1" applyBorder="1" applyAlignment="1" applyProtection="1">
      <alignment horizontal="center"/>
    </xf>
    <xf numFmtId="3" fontId="7" fillId="0" borderId="0" xfId="1532" applyFont="1" applyFill="1" applyBorder="1" applyAlignment="1" applyProtection="1">
      <alignment horizontal="left"/>
    </xf>
    <xf numFmtId="3" fontId="7" fillId="0" borderId="2" xfId="1532" applyFont="1" applyFill="1" applyBorder="1" applyAlignment="1" applyProtection="1">
      <alignment horizontal="right" wrapText="1"/>
    </xf>
    <xf numFmtId="3" fontId="7"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7" fillId="0" borderId="11" xfId="1532" applyFont="1" applyFill="1" applyBorder="1" applyAlignment="1" applyProtection="1">
      <alignment horizontal="center" wrapText="1"/>
    </xf>
    <xf numFmtId="3" fontId="7" fillId="0" borderId="0" xfId="1532" applyFont="1" applyFill="1" applyBorder="1" applyAlignment="1" applyProtection="1">
      <alignment horizontal="center" wrapText="1"/>
    </xf>
    <xf numFmtId="10" fontId="74" fillId="0" borderId="0" xfId="999" applyNumberFormat="1" applyFont="1" applyFill="1" applyBorder="1" applyAlignment="1" applyProtection="1">
      <alignment wrapText="1"/>
    </xf>
    <xf numFmtId="173" fontId="7" fillId="0" borderId="0" xfId="198" applyNumberFormat="1" applyFont="1" applyFill="1" applyBorder="1" applyAlignment="1" applyProtection="1">
      <alignment wrapText="1"/>
    </xf>
    <xf numFmtId="3" fontId="7" fillId="0" borderId="0" xfId="1532" applyFont="1" applyFill="1" applyBorder="1" applyAlignment="1" applyProtection="1">
      <alignment vertical="top"/>
    </xf>
    <xf numFmtId="3" fontId="7" fillId="0" borderId="15" xfId="1532" applyFont="1" applyFill="1" applyBorder="1" applyAlignment="1" applyProtection="1">
      <alignment vertical="top"/>
    </xf>
    <xf numFmtId="174" fontId="74" fillId="0" borderId="15" xfId="603" applyNumberFormat="1" applyFont="1" applyFill="1" applyBorder="1" applyAlignment="1" applyProtection="1">
      <alignment wrapText="1"/>
    </xf>
    <xf numFmtId="0" fontId="159" fillId="0" borderId="0" xfId="1409" applyFont="1" applyFill="1" applyBorder="1" applyAlignment="1" applyProtection="1"/>
    <xf numFmtId="0" fontId="7" fillId="0" borderId="0" xfId="1409" applyFont="1" applyFill="1" applyBorder="1" applyProtection="1"/>
    <xf numFmtId="0" fontId="57" fillId="0" borderId="0" xfId="1409" applyFont="1" applyFill="1" applyBorder="1" applyProtection="1"/>
    <xf numFmtId="0" fontId="10" fillId="0" borderId="0" xfId="1409" applyFont="1" applyFill="1" applyBorder="1" applyAlignment="1" applyProtection="1">
      <alignment horizontal="center"/>
    </xf>
    <xf numFmtId="0" fontId="7" fillId="0" borderId="0" xfId="1409" applyFont="1" applyFill="1" applyBorder="1" applyAlignment="1" applyProtection="1"/>
    <xf numFmtId="0" fontId="12" fillId="0" borderId="0" xfId="1409" applyFont="1" applyFill="1" applyBorder="1" applyAlignment="1" applyProtection="1">
      <alignment horizontal="center"/>
    </xf>
    <xf numFmtId="0" fontId="12" fillId="0" borderId="0" xfId="1409" applyFont="1" applyFill="1" applyBorder="1" applyAlignment="1" applyProtection="1">
      <alignment horizontal="left"/>
    </xf>
    <xf numFmtId="0" fontId="12" fillId="0" borderId="0" xfId="1409" applyNumberFormat="1" applyFont="1" applyFill="1" applyBorder="1" applyAlignment="1" applyProtection="1">
      <alignment horizontal="left"/>
    </xf>
    <xf numFmtId="0" fontId="12" fillId="0" borderId="0" xfId="1409" applyFont="1" applyFill="1" applyBorder="1" applyAlignment="1" applyProtection="1"/>
    <xf numFmtId="3" fontId="16" fillId="0" borderId="0" xfId="1409" applyNumberFormat="1" applyFont="1" applyFill="1" applyBorder="1" applyAlignment="1" applyProtection="1">
      <alignment horizontal="center"/>
    </xf>
    <xf numFmtId="0" fontId="12" fillId="0" borderId="0" xfId="1409" applyNumberFormat="1" applyFont="1" applyFill="1" applyBorder="1" applyAlignment="1" applyProtection="1">
      <alignment horizontal="center"/>
    </xf>
    <xf numFmtId="0" fontId="7" fillId="0" borderId="0" xfId="1409" applyFont="1" applyFill="1" applyBorder="1" applyAlignment="1" applyProtection="1">
      <alignment horizontal="center" wrapText="1"/>
    </xf>
    <xf numFmtId="0" fontId="7" fillId="0" borderId="0" xfId="1409" applyNumberFormat="1" applyFont="1" applyFill="1" applyBorder="1" applyAlignment="1" applyProtection="1">
      <alignment horizontal="center"/>
    </xf>
    <xf numFmtId="0" fontId="20" fillId="0" borderId="0" xfId="1409" applyFont="1" applyFill="1" applyBorder="1" applyAlignment="1" applyProtection="1">
      <alignment horizontal="center"/>
    </xf>
    <xf numFmtId="173" fontId="16" fillId="0" borderId="0" xfId="1201" applyNumberFormat="1" applyFont="1" applyFill="1" applyBorder="1" applyAlignment="1" applyProtection="1">
      <alignment horizontal="right"/>
    </xf>
    <xf numFmtId="173" fontId="7" fillId="0" borderId="0" xfId="1201" applyNumberFormat="1" applyFont="1" applyFill="1" applyBorder="1" applyAlignment="1" applyProtection="1">
      <alignment horizontal="left"/>
    </xf>
    <xf numFmtId="0" fontId="20" fillId="0" borderId="0" xfId="1409" applyFont="1" applyFill="1" applyBorder="1" applyAlignment="1" applyProtection="1">
      <alignment horizontal="center" wrapText="1"/>
    </xf>
    <xf numFmtId="0" fontId="7" fillId="0" borderId="14" xfId="1409" applyFont="1" applyFill="1" applyBorder="1" applyAlignment="1" applyProtection="1">
      <alignment horizontal="center" wrapText="1"/>
    </xf>
    <xf numFmtId="173" fontId="7" fillId="0" borderId="0" xfId="1201" applyNumberFormat="1" applyFont="1" applyFill="1" applyBorder="1" applyAlignment="1" applyProtection="1">
      <alignment horizontal="right"/>
    </xf>
    <xf numFmtId="173" fontId="7" fillId="0" borderId="0" xfId="198" applyNumberFormat="1" applyFont="1" applyFill="1" applyBorder="1" applyAlignment="1" applyProtection="1">
      <alignment horizontal="center" wrapText="1"/>
    </xf>
    <xf numFmtId="3" fontId="7" fillId="0" borderId="0" xfId="1409" applyNumberFormat="1" applyFont="1" applyFill="1" applyBorder="1" applyAlignment="1" applyProtection="1"/>
    <xf numFmtId="37" fontId="7" fillId="0" borderId="0" xfId="1183" applyNumberFormat="1" applyProtection="1"/>
    <xf numFmtId="173" fontId="7" fillId="0" borderId="0" xfId="198" applyNumberFormat="1" applyFont="1" applyFill="1" applyBorder="1" applyAlignment="1" applyProtection="1"/>
    <xf numFmtId="0" fontId="7" fillId="0" borderId="0" xfId="878" applyFont="1" applyFill="1" applyAlignment="1" applyProtection="1">
      <alignment horizontal="left"/>
    </xf>
    <xf numFmtId="0" fontId="7" fillId="0" borderId="0" xfId="1409" applyFont="1" applyFill="1" applyBorder="1" applyAlignment="1" applyProtection="1">
      <alignment horizontal="left"/>
    </xf>
    <xf numFmtId="37" fontId="7" fillId="0" borderId="0" xfId="1409" applyNumberFormat="1" applyFont="1" applyBorder="1" applyProtection="1"/>
    <xf numFmtId="37" fontId="87" fillId="27" borderId="0" xfId="1201" applyNumberFormat="1" applyFont="1" applyFill="1" applyProtection="1"/>
    <xf numFmtId="37" fontId="7" fillId="0" borderId="0" xfId="1183" applyNumberFormat="1" applyFont="1" applyFill="1" applyProtection="1"/>
    <xf numFmtId="37" fontId="7" fillId="0" borderId="0" xfId="1409" applyNumberFormat="1" applyFont="1" applyFill="1" applyBorder="1" applyProtection="1"/>
    <xf numFmtId="37" fontId="87" fillId="0" borderId="0" xfId="1201" applyNumberFormat="1" applyFont="1" applyFill="1" applyProtection="1"/>
    <xf numFmtId="0" fontId="7" fillId="0" borderId="0" xfId="1409" applyFont="1" applyBorder="1" applyProtection="1"/>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6" fillId="0" borderId="0" xfId="1201" applyNumberFormat="1" applyFont="1" applyFill="1" applyProtection="1"/>
    <xf numFmtId="37" fontId="86" fillId="0" borderId="0" xfId="1201" applyNumberFormat="1" applyFont="1" applyFill="1" applyProtection="1"/>
    <xf numFmtId="37" fontId="86" fillId="0" borderId="0" xfId="1409" applyNumberFormat="1" applyFont="1" applyFill="1" applyBorder="1" applyProtection="1"/>
    <xf numFmtId="38" fontId="7" fillId="0" borderId="17" xfId="0" applyNumberFormat="1" applyFont="1" applyFill="1" applyBorder="1" applyProtection="1"/>
    <xf numFmtId="37" fontId="7" fillId="0" borderId="17" xfId="0" applyNumberFormat="1" applyFont="1" applyFill="1" applyBorder="1" applyProtection="1"/>
    <xf numFmtId="173" fontId="7" fillId="0" borderId="17" xfId="198" applyNumberFormat="1" applyFont="1" applyFill="1" applyBorder="1" applyProtection="1"/>
    <xf numFmtId="38" fontId="7" fillId="0" borderId="0" xfId="0" quotePrefix="1" applyNumberFormat="1" applyFont="1" applyFill="1" applyBorder="1" applyAlignment="1" applyProtection="1">
      <alignment horizontal="right"/>
    </xf>
    <xf numFmtId="37" fontId="7" fillId="0" borderId="0" xfId="0" applyNumberFormat="1" applyFont="1" applyFill="1" applyBorder="1" applyProtection="1"/>
    <xf numFmtId="0" fontId="7" fillId="0" borderId="0" xfId="1409" applyNumberFormat="1" applyFont="1" applyFill="1" applyBorder="1" applyAlignment="1" applyProtection="1">
      <alignment horizontal="center" vertical="top"/>
    </xf>
    <xf numFmtId="0" fontId="7" fillId="0" borderId="0" xfId="1409" applyFont="1" applyFill="1" applyBorder="1" applyAlignment="1" applyProtection="1">
      <alignment horizontal="center"/>
    </xf>
    <xf numFmtId="0" fontId="7" fillId="0" borderId="0" xfId="0" quotePrefix="1" applyFont="1" applyFill="1" applyAlignment="1" applyProtection="1">
      <alignment horizontal="left"/>
    </xf>
    <xf numFmtId="173" fontId="7" fillId="0" borderId="11" xfId="0" applyNumberFormat="1" applyFont="1" applyFill="1" applyBorder="1" applyProtection="1"/>
    <xf numFmtId="173" fontId="7" fillId="0" borderId="14" xfId="0" applyNumberFormat="1" applyFont="1" applyFill="1" applyBorder="1" applyProtection="1"/>
    <xf numFmtId="174" fontId="7" fillId="0" borderId="0" xfId="198" applyNumberFormat="1" applyFont="1" applyFill="1" applyProtection="1"/>
    <xf numFmtId="174" fontId="7" fillId="0" borderId="0" xfId="0" applyNumberFormat="1" applyFont="1" applyFill="1" applyProtection="1"/>
    <xf numFmtId="0" fontId="20" fillId="0" borderId="0" xfId="1176" applyFont="1" applyAlignment="1" applyProtection="1">
      <alignment horizontal="center"/>
    </xf>
    <xf numFmtId="3" fontId="7" fillId="0" borderId="0" xfId="881" applyNumberFormat="1" applyFont="1" applyFill="1" applyAlignment="1" applyProtection="1"/>
    <xf numFmtId="10" fontId="7" fillId="0" borderId="0" xfId="881" applyNumberFormat="1" applyFont="1" applyFill="1" applyAlignment="1" applyProtection="1"/>
    <xf numFmtId="167" fontId="7" fillId="0" borderId="0" xfId="881" applyNumberFormat="1" applyFont="1" applyFill="1" applyAlignment="1" applyProtection="1"/>
    <xf numFmtId="43" fontId="7" fillId="0" borderId="0" xfId="198" applyFont="1" applyFill="1" applyAlignment="1" applyProtection="1"/>
    <xf numFmtId="172" fontId="7" fillId="0" borderId="0" xfId="881" applyFont="1" applyFill="1" applyBorder="1" applyAlignment="1" applyProtection="1"/>
    <xf numFmtId="0" fontId="7" fillId="0" borderId="18" xfId="0" quotePrefix="1" applyFont="1" applyFill="1" applyBorder="1" applyAlignment="1" applyProtection="1">
      <alignment horizontal="left"/>
    </xf>
    <xf numFmtId="0" fontId="7" fillId="0" borderId="21" xfId="0" applyFont="1" applyFill="1" applyBorder="1" applyProtection="1"/>
    <xf numFmtId="0" fontId="7" fillId="0" borderId="0" xfId="198" applyNumberFormat="1" applyFont="1" applyFill="1" applyAlignment="1" applyProtection="1"/>
    <xf numFmtId="0" fontId="87" fillId="0" borderId="32" xfId="0" quotePrefix="1" applyFont="1" applyFill="1" applyBorder="1" applyAlignment="1" applyProtection="1">
      <alignment horizontal="right"/>
    </xf>
    <xf numFmtId="0" fontId="7" fillId="0" borderId="20" xfId="0" applyFont="1" applyFill="1" applyBorder="1" applyProtection="1"/>
    <xf numFmtId="10" fontId="7" fillId="0" borderId="0" xfId="881" applyNumberFormat="1" applyFont="1" applyFill="1" applyAlignment="1" applyProtection="1">
      <alignment horizontal="right"/>
    </xf>
    <xf numFmtId="172" fontId="7" fillId="0" borderId="0" xfId="881" applyFont="1" applyFill="1" applyAlignment="1" applyProtection="1"/>
    <xf numFmtId="0" fontId="7" fillId="0" borderId="0" xfId="0" applyNumberFormat="1" applyFont="1" applyFill="1" applyAlignment="1" applyProtection="1">
      <alignment horizontal="center"/>
    </xf>
    <xf numFmtId="0" fontId="7" fillId="0" borderId="0" xfId="881" quotePrefix="1" applyNumberFormat="1" applyFont="1" applyFill="1" applyBorder="1" applyAlignment="1" applyProtection="1">
      <alignment horizontal="left"/>
    </xf>
    <xf numFmtId="173" fontId="87" fillId="0" borderId="32" xfId="198" applyNumberFormat="1" applyFont="1" applyFill="1" applyBorder="1" applyProtection="1"/>
    <xf numFmtId="175" fontId="87" fillId="0" borderId="32" xfId="899" applyNumberFormat="1" applyFont="1" applyFill="1" applyBorder="1" applyProtection="1"/>
    <xf numFmtId="0" fontId="7" fillId="0" borderId="22" xfId="0" applyFont="1" applyFill="1" applyBorder="1" applyProtection="1"/>
    <xf numFmtId="0" fontId="7" fillId="0" borderId="0" xfId="881" applyNumberFormat="1" applyFont="1" applyFill="1" applyBorder="1" applyAlignment="1" applyProtection="1">
      <alignment horizontal="right"/>
    </xf>
    <xf numFmtId="10" fontId="7" fillId="0" borderId="0" xfId="0" applyNumberFormat="1" applyFont="1" applyFill="1" applyAlignment="1" applyProtection="1">
      <alignment horizontal="center"/>
    </xf>
    <xf numFmtId="10" fontId="7" fillId="0" borderId="0" xfId="899" applyNumberFormat="1" applyFont="1" applyFill="1" applyAlignment="1" applyProtection="1">
      <alignment horizontal="center"/>
    </xf>
    <xf numFmtId="10" fontId="7" fillId="0" borderId="0" xfId="899" applyNumberFormat="1" applyFont="1" applyFill="1" applyAlignment="1" applyProtection="1"/>
    <xf numFmtId="169" fontId="7" fillId="0" borderId="0" xfId="881" applyNumberFormat="1" applyFont="1" applyFill="1" applyAlignment="1" applyProtection="1"/>
    <xf numFmtId="0" fontId="7" fillId="0" borderId="19" xfId="0" applyFont="1" applyFill="1" applyBorder="1" applyAlignment="1" applyProtection="1">
      <alignment wrapText="1"/>
    </xf>
    <xf numFmtId="0" fontId="7" fillId="0" borderId="0" xfId="0" applyFont="1" applyFill="1" applyBorder="1" applyAlignment="1" applyProtection="1">
      <alignment wrapText="1"/>
    </xf>
    <xf numFmtId="0" fontId="7" fillId="0" borderId="20" xfId="0" applyFont="1" applyFill="1" applyBorder="1" applyAlignment="1" applyProtection="1">
      <alignment wrapText="1"/>
    </xf>
    <xf numFmtId="166" fontId="7" fillId="0" borderId="0" xfId="881" applyNumberFormat="1" applyFont="1" applyFill="1" applyBorder="1" applyAlignment="1" applyProtection="1">
      <alignment horizontal="center"/>
    </xf>
    <xf numFmtId="41" fontId="7" fillId="0" borderId="0" xfId="881" applyNumberFormat="1" applyFont="1" applyFill="1" applyAlignment="1" applyProtection="1"/>
    <xf numFmtId="172" fontId="7" fillId="0" borderId="19" xfId="881" applyFont="1" applyFill="1" applyBorder="1" applyAlignment="1" applyProtection="1"/>
    <xf numFmtId="3" fontId="7" fillId="0" borderId="20" xfId="881" applyNumberFormat="1" applyFont="1" applyFill="1" applyBorder="1" applyAlignment="1" applyProtection="1"/>
    <xf numFmtId="41" fontId="7" fillId="0" borderId="0" xfId="881" applyNumberFormat="1" applyFont="1" applyFill="1" applyBorder="1" applyAlignment="1" applyProtection="1">
      <alignment horizontal="center"/>
    </xf>
    <xf numFmtId="0" fontId="7" fillId="0" borderId="19" xfId="0" applyFont="1" applyFill="1" applyBorder="1" applyProtection="1"/>
    <xf numFmtId="3" fontId="7" fillId="0" borderId="0" xfId="881" applyNumberFormat="1" applyFont="1" applyFill="1" applyAlignment="1" applyProtection="1">
      <alignment horizontal="right"/>
    </xf>
    <xf numFmtId="178" fontId="7" fillId="0" borderId="0" xfId="881" applyNumberFormat="1" applyFont="1" applyFill="1" applyAlignment="1" applyProtection="1"/>
    <xf numFmtId="166" fontId="7" fillId="0" borderId="34" xfId="881" applyNumberFormat="1" applyFont="1" applyFill="1" applyBorder="1" applyAlignment="1" applyProtection="1">
      <alignment horizontal="left"/>
    </xf>
    <xf numFmtId="0" fontId="7" fillId="0" borderId="6" xfId="881" applyNumberFormat="1" applyFont="1" applyFill="1" applyBorder="1" applyAlignment="1" applyProtection="1">
      <alignment horizontal="center"/>
    </xf>
    <xf numFmtId="173" fontId="7" fillId="0" borderId="6" xfId="881" applyNumberFormat="1" applyFont="1" applyFill="1" applyBorder="1" applyAlignment="1" applyProtection="1">
      <alignment horizontal="center"/>
    </xf>
    <xf numFmtId="174" fontId="7" fillId="0" borderId="27" xfId="0" applyNumberFormat="1" applyFont="1" applyFill="1" applyBorder="1" applyProtection="1"/>
    <xf numFmtId="0" fontId="7" fillId="0" borderId="23" xfId="0" applyFont="1" applyFill="1" applyBorder="1" applyProtection="1"/>
    <xf numFmtId="10" fontId="7" fillId="0" borderId="0" xfId="881" applyNumberFormat="1" applyFont="1" applyFill="1" applyAlignment="1" applyProtection="1">
      <alignment horizontal="left"/>
    </xf>
    <xf numFmtId="41" fontId="7" fillId="0" borderId="0" xfId="881" applyNumberFormat="1" applyFont="1" applyFill="1" applyBorder="1" applyAlignment="1" applyProtection="1"/>
    <xf numFmtId="41" fontId="87" fillId="0" borderId="32" xfId="0" applyNumberFormat="1" applyFont="1" applyFill="1" applyBorder="1" applyProtection="1"/>
    <xf numFmtId="3" fontId="7" fillId="0" borderId="24" xfId="0" applyNumberFormat="1" applyFont="1" applyFill="1" applyBorder="1" applyProtection="1"/>
    <xf numFmtId="10" fontId="87" fillId="0" borderId="19" xfId="0" applyNumberFormat="1" applyFont="1" applyFill="1" applyBorder="1" applyProtection="1"/>
    <xf numFmtId="41" fontId="87" fillId="0" borderId="19" xfId="0" applyNumberFormat="1" applyFont="1" applyFill="1" applyBorder="1" applyProtection="1"/>
    <xf numFmtId="41" fontId="7" fillId="0" borderId="0" xfId="881" quotePrefix="1" applyNumberFormat="1" applyFont="1" applyFill="1" applyBorder="1" applyAlignment="1" applyProtection="1"/>
    <xf numFmtId="41" fontId="7" fillId="0" borderId="0" xfId="881" applyNumberFormat="1" applyFont="1" applyFill="1" applyBorder="1" applyAlignment="1" applyProtection="1">
      <alignment horizontal="right"/>
    </xf>
    <xf numFmtId="177" fontId="7" fillId="0" borderId="11" xfId="881" applyNumberFormat="1" applyFont="1" applyFill="1" applyBorder="1" applyAlignment="1" applyProtection="1"/>
    <xf numFmtId="164" fontId="7" fillId="0" borderId="0" xfId="881" applyNumberFormat="1" applyFont="1" applyFill="1" applyBorder="1" applyAlignment="1" applyProtection="1">
      <alignment horizontal="left"/>
    </xf>
    <xf numFmtId="41" fontId="7" fillId="0" borderId="0" xfId="881" applyNumberFormat="1" applyFont="1" applyFill="1" applyAlignment="1" applyProtection="1">
      <alignment horizontal="center"/>
    </xf>
    <xf numFmtId="3" fontId="7" fillId="0" borderId="0" xfId="881" applyNumberFormat="1" applyFont="1" applyFill="1" applyAlignment="1" applyProtection="1">
      <alignment vertical="center" wrapText="1"/>
    </xf>
    <xf numFmtId="41" fontId="7" fillId="0" borderId="0" xfId="881" applyNumberFormat="1" applyFont="1" applyFill="1" applyBorder="1" applyAlignment="1" applyProtection="1">
      <alignment vertical="center"/>
    </xf>
    <xf numFmtId="41" fontId="7" fillId="0" borderId="0" xfId="881" applyNumberFormat="1" applyFont="1" applyFill="1" applyBorder="1" applyAlignment="1" applyProtection="1">
      <alignment horizontal="center" vertical="center"/>
    </xf>
    <xf numFmtId="41" fontId="7" fillId="0" borderId="0" xfId="881" applyNumberFormat="1" applyFont="1" applyFill="1" applyAlignment="1" applyProtection="1">
      <alignment horizontal="right"/>
    </xf>
    <xf numFmtId="10" fontId="7" fillId="0" borderId="0" xfId="0" applyNumberFormat="1" applyFont="1" applyFill="1" applyBorder="1" applyProtection="1"/>
    <xf numFmtId="41" fontId="7" fillId="0" borderId="0" xfId="0" applyNumberFormat="1" applyFont="1" applyFill="1" applyProtection="1"/>
    <xf numFmtId="173" fontId="87" fillId="0" borderId="0" xfId="0" applyNumberFormat="1" applyFont="1" applyFill="1" applyBorder="1" applyProtection="1"/>
    <xf numFmtId="0" fontId="7" fillId="0" borderId="50" xfId="0" applyFont="1" applyFill="1" applyBorder="1" applyProtection="1"/>
    <xf numFmtId="0" fontId="7" fillId="0" borderId="0" xfId="0" applyFont="1" applyFill="1" applyBorder="1" applyAlignment="1" applyProtection="1"/>
    <xf numFmtId="0" fontId="7" fillId="0" borderId="48" xfId="0" applyFont="1" applyFill="1" applyBorder="1" applyProtection="1"/>
    <xf numFmtId="41" fontId="7" fillId="0" borderId="2" xfId="881" applyNumberFormat="1" applyFont="1" applyFill="1" applyBorder="1" applyAlignment="1" applyProtection="1"/>
    <xf numFmtId="3" fontId="7" fillId="0" borderId="0" xfId="881" applyNumberFormat="1" applyFont="1" applyFill="1" applyBorder="1" applyAlignment="1" applyProtection="1"/>
    <xf numFmtId="0" fontId="20" fillId="0" borderId="0" xfId="1208" quotePrefix="1" applyFont="1" applyAlignment="1" applyProtection="1">
      <alignment horizontal="left"/>
    </xf>
    <xf numFmtId="0" fontId="12" fillId="0" borderId="0" xfId="1208" applyFont="1" applyProtection="1"/>
    <xf numFmtId="0" fontId="7" fillId="0" borderId="0" xfId="881" applyNumberFormat="1" applyFont="1" applyFill="1" applyBorder="1" applyProtection="1"/>
    <xf numFmtId="0" fontId="12" fillId="0" borderId="0" xfId="1208" quotePrefix="1" applyFont="1" applyAlignment="1" applyProtection="1">
      <alignment horizontal="left"/>
    </xf>
    <xf numFmtId="0" fontId="7" fillId="0" borderId="0" xfId="1208" applyFont="1" applyProtection="1"/>
    <xf numFmtId="3" fontId="7" fillId="0" borderId="0" xfId="881" applyNumberFormat="1" applyFont="1" applyFill="1" applyBorder="1" applyAlignment="1" applyProtection="1">
      <alignment horizontal="center"/>
    </xf>
    <xf numFmtId="41" fontId="7" fillId="0" borderId="11" xfId="881" applyNumberFormat="1" applyFont="1" applyFill="1" applyBorder="1" applyAlignment="1" applyProtection="1"/>
    <xf numFmtId="10" fontId="7" fillId="0" borderId="0" xfId="881" applyNumberFormat="1" applyFont="1" applyFill="1" applyBorder="1" applyAlignment="1" applyProtection="1"/>
    <xf numFmtId="169" fontId="7" fillId="0" borderId="0" xfId="88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41" fontId="7" fillId="0" borderId="11" xfId="0" applyNumberFormat="1" applyFont="1" applyFill="1" applyBorder="1" applyProtection="1"/>
    <xf numFmtId="10" fontId="7" fillId="0" borderId="11" xfId="0" applyNumberFormat="1" applyFont="1" applyFill="1" applyBorder="1" applyProtection="1"/>
    <xf numFmtId="9" fontId="7" fillId="27" borderId="0" xfId="899" applyFont="1" applyFill="1" applyAlignment="1" applyProtection="1">
      <alignment horizontal="right"/>
    </xf>
    <xf numFmtId="9" fontId="7" fillId="0" borderId="0" xfId="899" applyFont="1" applyFill="1" applyBorder="1" applyProtection="1"/>
    <xf numFmtId="173" fontId="7" fillId="0" borderId="11" xfId="198" applyNumberFormat="1" applyFont="1" applyFill="1" applyBorder="1" applyAlignment="1" applyProtection="1"/>
    <xf numFmtId="164" fontId="7" fillId="0" borderId="0" xfId="899" applyNumberFormat="1" applyFont="1" applyFill="1" applyProtection="1"/>
    <xf numFmtId="43" fontId="7" fillId="0" borderId="0" xfId="198" applyNumberFormat="1" applyFont="1" applyFill="1" applyProtection="1"/>
    <xf numFmtId="0" fontId="7" fillId="0" borderId="0" xfId="0" applyFont="1" applyAlignment="1" applyProtection="1">
      <alignment horizontal="center"/>
    </xf>
    <xf numFmtId="10" fontId="7" fillId="0" borderId="0" xfId="0" applyNumberFormat="1" applyFont="1" applyProtection="1"/>
    <xf numFmtId="173" fontId="7" fillId="0" borderId="0" xfId="1201" applyNumberFormat="1" applyFont="1" applyProtection="1"/>
    <xf numFmtId="173" fontId="7" fillId="0" borderId="0" xfId="1201" applyNumberFormat="1" applyFont="1" applyBorder="1" applyProtection="1"/>
    <xf numFmtId="0" fontId="10" fillId="27" borderId="0" xfId="1201" applyNumberFormat="1" applyFont="1" applyFill="1" applyAlignment="1" applyProtection="1">
      <alignment horizontal="left"/>
    </xf>
    <xf numFmtId="0" fontId="7" fillId="0" borderId="17" xfId="0" applyFont="1" applyBorder="1" applyProtection="1"/>
    <xf numFmtId="173" fontId="12" fillId="0" borderId="21" xfId="1201" applyNumberFormat="1" applyFont="1" applyBorder="1" applyProtection="1"/>
    <xf numFmtId="0" fontId="10" fillId="0" borderId="0" xfId="1201" applyNumberFormat="1" applyFont="1" applyFill="1" applyAlignment="1" applyProtection="1">
      <alignment horizontal="left"/>
    </xf>
    <xf numFmtId="0" fontId="10" fillId="0" borderId="0" xfId="1201" applyNumberFormat="1" applyFont="1" applyFill="1" applyBorder="1" applyAlignment="1" applyProtection="1">
      <alignment horizontal="left"/>
    </xf>
    <xf numFmtId="0" fontId="11" fillId="0" borderId="0" xfId="1201" applyNumberFormat="1" applyFont="1" applyFill="1" applyBorder="1" applyAlignment="1" applyProtection="1">
      <alignment horizontal="left"/>
    </xf>
    <xf numFmtId="173" fontId="12" fillId="0" borderId="25" xfId="1201" applyNumberFormat="1" applyFont="1" applyBorder="1" applyProtection="1"/>
    <xf numFmtId="173" fontId="12" fillId="0" borderId="34" xfId="1201" applyNumberFormat="1" applyFont="1" applyBorder="1" applyProtection="1"/>
    <xf numFmtId="173" fontId="7" fillId="0" borderId="6" xfId="1201" applyNumberFormat="1" applyFont="1" applyBorder="1" applyProtection="1"/>
    <xf numFmtId="173" fontId="7" fillId="0" borderId="27" xfId="1201" applyNumberFormat="1" applyFont="1" applyBorder="1" applyProtection="1"/>
    <xf numFmtId="0" fontId="7" fillId="0" borderId="36" xfId="0" applyFont="1" applyFill="1" applyBorder="1" applyAlignment="1" applyProtection="1">
      <alignment horizontal="left"/>
    </xf>
    <xf numFmtId="0" fontId="7" fillId="0" borderId="0" xfId="0" applyFont="1" applyBorder="1" applyAlignment="1" applyProtection="1"/>
    <xf numFmtId="0" fontId="7" fillId="0" borderId="19" xfId="0" quotePrefix="1" applyFont="1" applyFill="1" applyBorder="1" applyAlignment="1" applyProtection="1">
      <alignment horizontal="left"/>
    </xf>
    <xf numFmtId="173" fontId="7" fillId="27" borderId="20" xfId="1201" applyNumberFormat="1" applyFont="1" applyFill="1" applyBorder="1" applyAlignment="1" applyProtection="1">
      <alignment horizontal="right"/>
    </xf>
    <xf numFmtId="0" fontId="7" fillId="0" borderId="0" xfId="0" applyFont="1" applyBorder="1" applyAlignment="1" applyProtection="1">
      <alignment horizontal="center"/>
    </xf>
    <xf numFmtId="0" fontId="7" fillId="27" borderId="20" xfId="0" applyFont="1" applyFill="1" applyBorder="1" applyAlignment="1" applyProtection="1">
      <alignment horizontal="right"/>
    </xf>
    <xf numFmtId="173" fontId="7" fillId="0" borderId="20" xfId="0" applyNumberFormat="1" applyFont="1" applyFill="1" applyBorder="1" applyAlignment="1" applyProtection="1">
      <alignment horizontal="right"/>
    </xf>
    <xf numFmtId="173" fontId="7" fillId="0" borderId="0" xfId="0" applyNumberFormat="1" applyFont="1" applyFill="1" applyBorder="1" applyAlignment="1" applyProtection="1">
      <alignment horizontal="right"/>
    </xf>
    <xf numFmtId="10" fontId="7" fillId="0" borderId="20" xfId="0" applyNumberFormat="1" applyFont="1" applyBorder="1" applyProtection="1"/>
    <xf numFmtId="10" fontId="7" fillId="0" borderId="0" xfId="0" applyNumberFormat="1" applyFont="1" applyBorder="1" applyProtection="1"/>
    <xf numFmtId="173" fontId="7" fillId="0" borderId="20" xfId="1201" applyNumberFormat="1" applyFont="1" applyBorder="1" applyProtection="1"/>
    <xf numFmtId="173" fontId="12" fillId="0" borderId="38" xfId="1201" applyNumberFormat="1" applyFont="1" applyBorder="1" applyAlignment="1" applyProtection="1">
      <alignment horizontal="center"/>
    </xf>
    <xf numFmtId="173" fontId="12" fillId="0" borderId="21" xfId="1201" quotePrefix="1" applyNumberFormat="1" applyFont="1" applyFill="1" applyBorder="1" applyAlignment="1" applyProtection="1">
      <alignment horizontal="center" wrapText="1"/>
    </xf>
    <xf numFmtId="173" fontId="12" fillId="0" borderId="21" xfId="1201" quotePrefix="1" applyNumberFormat="1" applyFont="1" applyBorder="1" applyAlignment="1" applyProtection="1">
      <alignment horizontal="center" wrapText="1"/>
    </xf>
    <xf numFmtId="173" fontId="12" fillId="0" borderId="38" xfId="1201" quotePrefix="1" applyNumberFormat="1" applyFont="1" applyBorder="1" applyAlignment="1" applyProtection="1">
      <alignment horizontal="center" wrapText="1"/>
    </xf>
    <xf numFmtId="173" fontId="12" fillId="0" borderId="38" xfId="1201" applyNumberFormat="1" applyFont="1" applyFill="1" applyBorder="1" applyAlignment="1" applyProtection="1">
      <alignment horizontal="center" wrapText="1"/>
    </xf>
    <xf numFmtId="173" fontId="12" fillId="0" borderId="38" xfId="1201" applyNumberFormat="1" applyFont="1" applyBorder="1" applyAlignment="1" applyProtection="1">
      <alignment horizontal="center" wrapText="1"/>
    </xf>
    <xf numFmtId="173" fontId="12" fillId="0" borderId="27" xfId="1201" applyNumberFormat="1" applyFont="1" applyFill="1" applyBorder="1" applyAlignment="1" applyProtection="1">
      <alignment horizontal="center"/>
    </xf>
    <xf numFmtId="173" fontId="12" fillId="0" borderId="27" xfId="1201" applyNumberFormat="1" applyFont="1" applyBorder="1" applyAlignment="1" applyProtection="1">
      <alignment horizontal="center"/>
    </xf>
    <xf numFmtId="173" fontId="12" fillId="0" borderId="39" xfId="1201" applyNumberFormat="1" applyFont="1" applyBorder="1" applyAlignment="1" applyProtection="1">
      <alignment horizontal="center"/>
    </xf>
    <xf numFmtId="173" fontId="12" fillId="0" borderId="39" xfId="1201" applyNumberFormat="1" applyFont="1" applyFill="1" applyBorder="1" applyAlignment="1" applyProtection="1">
      <alignment horizontal="center"/>
    </xf>
    <xf numFmtId="173" fontId="12" fillId="0" borderId="34" xfId="1201" applyNumberFormat="1" applyFont="1" applyFill="1" applyBorder="1" applyAlignment="1" applyProtection="1">
      <alignment horizontal="center"/>
    </xf>
    <xf numFmtId="0" fontId="7" fillId="0" borderId="28" xfId="0" applyNumberFormat="1" applyFont="1" applyBorder="1" applyAlignment="1" applyProtection="1">
      <alignment horizontal="center"/>
    </xf>
    <xf numFmtId="173" fontId="7" fillId="0" borderId="0" xfId="0" applyNumberFormat="1" applyFont="1" applyBorder="1" applyProtection="1"/>
    <xf numFmtId="173" fontId="7" fillId="0" borderId="38" xfId="1201" applyNumberFormat="1" applyFont="1" applyBorder="1" applyProtection="1"/>
    <xf numFmtId="174" fontId="7" fillId="0" borderId="20" xfId="0" applyNumberFormat="1" applyFont="1" applyBorder="1" applyProtection="1"/>
    <xf numFmtId="174" fontId="7" fillId="0" borderId="38" xfId="0" applyNumberFormat="1" applyFont="1" applyFill="1" applyBorder="1" applyProtection="1"/>
    <xf numFmtId="174" fontId="7" fillId="0" borderId="38" xfId="0" applyNumberFormat="1" applyFont="1" applyBorder="1" applyProtection="1"/>
    <xf numFmtId="174" fontId="7" fillId="0" borderId="28" xfId="0" applyNumberFormat="1" applyFont="1" applyBorder="1" applyProtection="1"/>
    <xf numFmtId="173" fontId="7" fillId="0" borderId="28" xfId="0" applyNumberFormat="1" applyFont="1" applyBorder="1" applyProtection="1"/>
    <xf numFmtId="173" fontId="7" fillId="0" borderId="28" xfId="1201" applyNumberFormat="1" applyFont="1" applyBorder="1" applyProtection="1"/>
    <xf numFmtId="174" fontId="7" fillId="27" borderId="28" xfId="0" applyNumberFormat="1" applyFont="1" applyFill="1" applyBorder="1" applyProtection="1"/>
    <xf numFmtId="173" fontId="7" fillId="0" borderId="28" xfId="0" applyNumberFormat="1" applyFont="1" applyFill="1" applyBorder="1" applyProtection="1"/>
    <xf numFmtId="173" fontId="7" fillId="0" borderId="28" xfId="1201" applyNumberFormat="1" applyFont="1" applyFill="1" applyBorder="1" applyProtection="1"/>
    <xf numFmtId="0" fontId="7" fillId="0" borderId="39" xfId="0" applyNumberFormat="1" applyFont="1" applyBorder="1" applyAlignment="1" applyProtection="1">
      <alignment horizontal="center"/>
    </xf>
    <xf numFmtId="173" fontId="7" fillId="0" borderId="39" xfId="0" applyNumberFormat="1" applyFont="1" applyBorder="1" applyProtection="1"/>
    <xf numFmtId="173" fontId="7" fillId="0" borderId="39" xfId="1201" applyNumberFormat="1" applyFont="1" applyBorder="1" applyProtection="1"/>
    <xf numFmtId="173" fontId="7" fillId="0" borderId="39" xfId="1201" applyNumberFormat="1" applyFont="1" applyFill="1" applyBorder="1" applyProtection="1"/>
    <xf numFmtId="174" fontId="7" fillId="0" borderId="27" xfId="0" applyNumberFormat="1" applyFont="1" applyBorder="1" applyProtection="1"/>
    <xf numFmtId="174" fontId="7" fillId="27" borderId="39" xfId="0" applyNumberFormat="1" applyFont="1" applyFill="1" applyBorder="1" applyProtection="1"/>
    <xf numFmtId="174" fontId="7" fillId="0" borderId="39" xfId="0" applyNumberFormat="1" applyFont="1" applyBorder="1" applyProtection="1"/>
    <xf numFmtId="174" fontId="7" fillId="0" borderId="0" xfId="0" applyNumberFormat="1" applyFont="1" applyBorder="1" applyProtection="1"/>
    <xf numFmtId="173" fontId="7" fillId="0" borderId="0" xfId="0" applyNumberFormat="1" applyFont="1" applyProtection="1"/>
    <xf numFmtId="0" fontId="7" fillId="0" borderId="0" xfId="0" applyFont="1" applyAlignment="1" applyProtection="1">
      <alignment horizontal="left"/>
    </xf>
    <xf numFmtId="0" fontId="21" fillId="0" borderId="0" xfId="1409" applyFont="1" applyFill="1" applyBorder="1" applyAlignment="1" applyProtection="1">
      <alignment horizontal="center"/>
    </xf>
    <xf numFmtId="10" fontId="87" fillId="0" borderId="32" xfId="0" applyNumberFormat="1" applyFont="1" applyFill="1" applyBorder="1" applyProtection="1"/>
    <xf numFmtId="1" fontId="7" fillId="26" borderId="0" xfId="881" applyNumberFormat="1" applyFont="1" applyFill="1" applyBorder="1" applyAlignment="1" applyProtection="1">
      <alignment horizontal="center"/>
    </xf>
    <xf numFmtId="167" fontId="87" fillId="0" borderId="32" xfId="0" applyNumberFormat="1" applyFont="1" applyFill="1" applyBorder="1" applyProtection="1"/>
    <xf numFmtId="41" fontId="7" fillId="0" borderId="19" xfId="881" quotePrefix="1" applyNumberFormat="1" applyFont="1" applyFill="1" applyBorder="1" applyAlignment="1" applyProtection="1">
      <alignment horizontal="left"/>
    </xf>
    <xf numFmtId="41" fontId="7" fillId="0" borderId="0" xfId="881" quotePrefix="1" applyNumberFormat="1" applyFont="1" applyFill="1" applyBorder="1" applyAlignment="1" applyProtection="1">
      <alignment horizontal="right"/>
    </xf>
    <xf numFmtId="41" fontId="7" fillId="0" borderId="19" xfId="881" quotePrefix="1" applyNumberFormat="1" applyFont="1" applyFill="1" applyBorder="1" applyAlignment="1" applyProtection="1">
      <alignment horizontal="left" vertical="center"/>
    </xf>
    <xf numFmtId="41" fontId="7" fillId="0" borderId="0" xfId="881" quotePrefix="1" applyNumberFormat="1" applyFont="1" applyFill="1" applyBorder="1" applyAlignment="1" applyProtection="1">
      <alignment horizontal="right" vertical="center"/>
    </xf>
    <xf numFmtId="0" fontId="7" fillId="0" borderId="33" xfId="0" applyFont="1" applyFill="1" applyBorder="1" applyAlignment="1" applyProtection="1">
      <alignment horizontal="left"/>
    </xf>
    <xf numFmtId="0" fontId="7" fillId="0" borderId="30" xfId="0" applyFont="1" applyFill="1" applyBorder="1" applyAlignment="1" applyProtection="1">
      <alignment horizontal="right"/>
    </xf>
    <xf numFmtId="173" fontId="7" fillId="0" borderId="30" xfId="0" applyNumberFormat="1" applyFont="1" applyFill="1" applyBorder="1" applyProtection="1"/>
    <xf numFmtId="173" fontId="7" fillId="0" borderId="31" xfId="0" applyNumberFormat="1" applyFont="1" applyFill="1" applyBorder="1" applyProtection="1"/>
    <xf numFmtId="173" fontId="7" fillId="0" borderId="0" xfId="881" quotePrefix="1" applyNumberFormat="1" applyFont="1" applyFill="1" applyBorder="1" applyAlignment="1" applyProtection="1">
      <alignment horizontal="center"/>
    </xf>
    <xf numFmtId="174" fontId="7" fillId="0" borderId="0" xfId="0" applyNumberFormat="1" applyFont="1" applyFill="1" applyBorder="1" applyProtection="1"/>
    <xf numFmtId="0" fontId="7" fillId="0" borderId="25" xfId="0" applyFont="1" applyFill="1" applyBorder="1" applyProtection="1"/>
    <xf numFmtId="173" fontId="87" fillId="0" borderId="42" xfId="0" applyNumberFormat="1" applyFont="1" applyFill="1" applyBorder="1" applyProtection="1"/>
    <xf numFmtId="0" fontId="7" fillId="0" borderId="26" xfId="0" applyFont="1" applyFill="1" applyBorder="1" applyProtection="1"/>
    <xf numFmtId="173" fontId="87" fillId="0" borderId="33" xfId="0" applyNumberFormat="1" applyFont="1" applyFill="1" applyBorder="1" applyProtection="1"/>
    <xf numFmtId="0" fontId="7" fillId="0" borderId="27" xfId="0" applyFont="1" applyFill="1" applyBorder="1" applyProtection="1"/>
    <xf numFmtId="173" fontId="7" fillId="0" borderId="0" xfId="0" applyNumberFormat="1" applyFont="1" applyFill="1" applyBorder="1" applyProtection="1"/>
    <xf numFmtId="174" fontId="87" fillId="0" borderId="28" xfId="0" applyNumberFormat="1" applyFont="1" applyBorder="1" applyProtection="1"/>
    <xf numFmtId="0" fontId="14" fillId="0" borderId="0" xfId="1208" quotePrefix="1" applyFont="1" applyAlignment="1" applyProtection="1">
      <alignment horizontal="left"/>
    </xf>
    <xf numFmtId="0" fontId="7" fillId="0" borderId="0" xfId="1208" applyFont="1" applyFill="1" applyBorder="1" applyProtection="1"/>
    <xf numFmtId="0" fontId="7" fillId="0" borderId="0" xfId="1208" applyFont="1" applyAlignment="1" applyProtection="1">
      <alignment horizontal="center"/>
    </xf>
    <xf numFmtId="10" fontId="7" fillId="0" borderId="0" xfId="1208" applyNumberFormat="1" applyFont="1" applyProtection="1"/>
    <xf numFmtId="0" fontId="7" fillId="0" borderId="0" xfId="1208" applyFont="1" applyBorder="1" applyProtection="1"/>
    <xf numFmtId="0" fontId="21" fillId="0" borderId="0" xfId="1208" applyFont="1" applyAlignment="1" applyProtection="1">
      <alignment horizontal="right"/>
    </xf>
    <xf numFmtId="0" fontId="21" fillId="0" borderId="0" xfId="1208" quotePrefix="1" applyFont="1" applyAlignment="1" applyProtection="1">
      <alignment horizontal="right"/>
    </xf>
    <xf numFmtId="0" fontId="60" fillId="0" borderId="0" xfId="1208" applyFont="1" applyFill="1" applyProtection="1"/>
    <xf numFmtId="0" fontId="11" fillId="0" borderId="0" xfId="1208" applyFont="1" applyFill="1" applyProtection="1"/>
    <xf numFmtId="1" fontId="12" fillId="0" borderId="47" xfId="1208" applyNumberFormat="1" applyFont="1" applyFill="1" applyBorder="1" applyAlignment="1" applyProtection="1">
      <alignment horizontal="center"/>
    </xf>
    <xf numFmtId="172" fontId="7" fillId="0" borderId="40" xfId="881" applyFont="1" applyBorder="1" applyAlignment="1" applyProtection="1">
      <alignment horizontal="center"/>
    </xf>
    <xf numFmtId="172" fontId="7" fillId="0" borderId="40" xfId="881" quotePrefix="1" applyFont="1" applyBorder="1" applyAlignment="1" applyProtection="1">
      <alignment horizontal="center"/>
    </xf>
    <xf numFmtId="3" fontId="7" fillId="0" borderId="41" xfId="881" applyNumberFormat="1" applyFont="1" applyBorder="1" applyAlignment="1" applyProtection="1">
      <alignment horizontal="center"/>
    </xf>
    <xf numFmtId="0" fontId="82" fillId="0" borderId="0" xfId="1208" applyFont="1" applyProtection="1"/>
    <xf numFmtId="0" fontId="7" fillId="0" borderId="38" xfId="1208" applyFont="1" applyBorder="1" applyProtection="1"/>
    <xf numFmtId="173" fontId="7" fillId="0" borderId="19" xfId="1201" quotePrefix="1" applyNumberFormat="1" applyFont="1" applyBorder="1" applyAlignment="1" applyProtection="1">
      <alignment horizontal="right"/>
    </xf>
    <xf numFmtId="173" fontId="12" fillId="0" borderId="0" xfId="1201" applyNumberFormat="1" applyFont="1" applyBorder="1" applyProtection="1"/>
    <xf numFmtId="173" fontId="7" fillId="0" borderId="20" xfId="1208" applyNumberFormat="1" applyFont="1" applyBorder="1" applyProtection="1"/>
    <xf numFmtId="0" fontId="11" fillId="0" borderId="0" xfId="1208" applyFont="1" applyAlignment="1" applyProtection="1">
      <alignment horizontal="left"/>
    </xf>
    <xf numFmtId="0" fontId="10" fillId="0" borderId="44" xfId="1201" applyNumberFormat="1" applyFont="1" applyFill="1" applyBorder="1" applyAlignment="1" applyProtection="1">
      <alignment horizontal="left"/>
    </xf>
    <xf numFmtId="173" fontId="7" fillId="0" borderId="45" xfId="1201" quotePrefix="1" applyNumberFormat="1" applyFont="1" applyBorder="1" applyAlignment="1" applyProtection="1">
      <alignment horizontal="right"/>
    </xf>
    <xf numFmtId="173" fontId="12" fillId="0" borderId="11" xfId="1201" applyNumberFormat="1" applyFont="1" applyBorder="1" applyProtection="1"/>
    <xf numFmtId="173" fontId="7" fillId="0" borderId="25" xfId="1208" applyNumberFormat="1" applyFont="1" applyBorder="1" applyProtection="1"/>
    <xf numFmtId="0" fontId="12" fillId="0" borderId="0" xfId="1208" applyFont="1" applyFill="1" applyProtection="1"/>
    <xf numFmtId="0" fontId="7" fillId="0" borderId="34" xfId="1208" quotePrefix="1" applyFont="1" applyBorder="1" applyAlignment="1" applyProtection="1">
      <alignment horizontal="right"/>
    </xf>
    <xf numFmtId="173" fontId="12" fillId="0" borderId="6" xfId="1201" applyNumberFormat="1" applyFont="1" applyFill="1" applyBorder="1" applyAlignment="1" applyProtection="1">
      <alignment horizontal="left"/>
    </xf>
    <xf numFmtId="173" fontId="12" fillId="0" borderId="27" xfId="1201" applyNumberFormat="1" applyFont="1" applyFill="1" applyBorder="1" applyAlignment="1" applyProtection="1">
      <alignment horizontal="left"/>
    </xf>
    <xf numFmtId="173" fontId="7" fillId="0" borderId="0" xfId="1208" applyNumberFormat="1" applyFont="1" applyAlignment="1" applyProtection="1">
      <alignment horizontal="left"/>
    </xf>
    <xf numFmtId="173" fontId="7" fillId="0" borderId="0" xfId="1208" applyNumberFormat="1" applyFont="1" applyProtection="1"/>
    <xf numFmtId="0" fontId="7" fillId="0" borderId="0" xfId="1208" applyFont="1" applyFill="1" applyAlignment="1" applyProtection="1">
      <alignment wrapText="1"/>
    </xf>
    <xf numFmtId="0" fontId="7" fillId="0" borderId="0" xfId="1208" applyFont="1" applyFill="1" applyProtection="1"/>
    <xf numFmtId="0" fontId="7" fillId="0" borderId="35" xfId="1208" applyFont="1" applyFill="1" applyBorder="1" applyAlignment="1" applyProtection="1">
      <alignment horizontal="center"/>
    </xf>
    <xf numFmtId="0" fontId="7" fillId="0" borderId="36" xfId="1208" applyFont="1" applyBorder="1" applyAlignment="1" applyProtection="1"/>
    <xf numFmtId="0" fontId="7" fillId="0" borderId="0" xfId="1208" applyFont="1" applyFill="1" applyBorder="1" applyAlignment="1" applyProtection="1"/>
    <xf numFmtId="0" fontId="7" fillId="0" borderId="0" xfId="1208" applyFont="1" applyBorder="1" applyAlignment="1" applyProtection="1"/>
    <xf numFmtId="0" fontId="7" fillId="0" borderId="19" xfId="1208" quotePrefix="1" applyFont="1" applyFill="1" applyBorder="1" applyAlignment="1" applyProtection="1">
      <alignment horizontal="left"/>
    </xf>
    <xf numFmtId="0" fontId="7" fillId="0" borderId="0" xfId="1208" applyFont="1" applyBorder="1" applyAlignment="1" applyProtection="1">
      <alignment horizontal="center"/>
    </xf>
    <xf numFmtId="1" fontId="12" fillId="0" borderId="21" xfId="1208" applyNumberFormat="1" applyFont="1" applyFill="1" applyBorder="1" applyAlignment="1" applyProtection="1">
      <alignment horizontal="center"/>
    </xf>
    <xf numFmtId="0" fontId="12" fillId="0" borderId="0" xfId="1208" applyFont="1" applyFill="1" applyBorder="1" applyAlignment="1" applyProtection="1">
      <alignment horizontal="center"/>
    </xf>
    <xf numFmtId="0" fontId="7" fillId="0" borderId="19" xfId="1208" applyFont="1" applyFill="1" applyBorder="1" applyProtection="1"/>
    <xf numFmtId="173" fontId="7" fillId="0" borderId="20" xfId="1208" applyNumberFormat="1" applyFont="1" applyFill="1" applyBorder="1" applyAlignment="1" applyProtection="1">
      <alignment horizontal="right"/>
    </xf>
    <xf numFmtId="173" fontId="7" fillId="0" borderId="0" xfId="1208" applyNumberFormat="1" applyFont="1" applyFill="1" applyBorder="1" applyAlignment="1" applyProtection="1">
      <alignment horizontal="right"/>
    </xf>
    <xf numFmtId="10" fontId="7" fillId="0" borderId="20" xfId="1208" applyNumberFormat="1" applyFont="1" applyBorder="1" applyProtection="1"/>
    <xf numFmtId="10" fontId="7" fillId="0" borderId="0" xfId="1208" applyNumberFormat="1" applyFont="1" applyFill="1" applyBorder="1" applyProtection="1"/>
    <xf numFmtId="10" fontId="7" fillId="0" borderId="0" xfId="1208" applyNumberFormat="1" applyFont="1" applyBorder="1" applyProtection="1"/>
    <xf numFmtId="0" fontId="7" fillId="0" borderId="34" xfId="1208" applyFont="1" applyBorder="1" applyProtection="1"/>
    <xf numFmtId="0" fontId="7" fillId="0" borderId="6" xfId="1208" applyFont="1" applyBorder="1" applyAlignment="1" applyProtection="1">
      <alignment horizontal="center"/>
    </xf>
    <xf numFmtId="0" fontId="7" fillId="0" borderId="6" xfId="1208" applyFont="1" applyBorder="1" applyProtection="1"/>
    <xf numFmtId="0" fontId="7" fillId="0" borderId="0" xfId="1208" applyFont="1" applyAlignment="1" applyProtection="1">
      <alignment wrapText="1"/>
    </xf>
    <xf numFmtId="0" fontId="12" fillId="0" borderId="38" xfId="1208" applyFont="1" applyBorder="1" applyAlignment="1" applyProtection="1">
      <alignment horizontal="center" wrapText="1"/>
    </xf>
    <xf numFmtId="173" fontId="12" fillId="0" borderId="38" xfId="1201" applyNumberFormat="1" applyFont="1" applyFill="1" applyBorder="1" applyAlignment="1" applyProtection="1">
      <alignment horizontal="center"/>
    </xf>
    <xf numFmtId="173" fontId="12" fillId="0" borderId="38" xfId="1201" quotePrefix="1" applyNumberFormat="1" applyFont="1" applyFill="1" applyBorder="1" applyAlignment="1" applyProtection="1">
      <alignment horizontal="center" wrapText="1"/>
    </xf>
    <xf numFmtId="0" fontId="12" fillId="0" borderId="28" xfId="1208" applyFont="1" applyBorder="1" applyAlignment="1" applyProtection="1">
      <alignment horizontal="center" wrapText="1"/>
    </xf>
    <xf numFmtId="0" fontId="12" fillId="0" borderId="39" xfId="1208" applyFont="1" applyBorder="1" applyAlignment="1" applyProtection="1">
      <alignment horizontal="center"/>
    </xf>
    <xf numFmtId="0" fontId="12" fillId="0" borderId="6" xfId="1208" applyFont="1" applyFill="1" applyBorder="1" applyAlignment="1" applyProtection="1">
      <alignment horizontal="center"/>
    </xf>
    <xf numFmtId="0" fontId="12" fillId="0" borderId="39" xfId="1208" applyFont="1" applyFill="1" applyBorder="1" applyAlignment="1" applyProtection="1">
      <alignment horizontal="center"/>
    </xf>
    <xf numFmtId="0" fontId="12" fillId="0" borderId="28" xfId="1208" applyFont="1" applyFill="1" applyBorder="1" applyAlignment="1" applyProtection="1">
      <alignment horizontal="center"/>
    </xf>
    <xf numFmtId="0" fontId="7" fillId="0" borderId="28" xfId="1208" applyNumberFormat="1" applyFont="1" applyBorder="1" applyAlignment="1" applyProtection="1">
      <alignment horizontal="center"/>
    </xf>
    <xf numFmtId="173" fontId="7" fillId="0" borderId="0" xfId="1208" applyNumberFormat="1" applyFont="1" applyBorder="1" applyProtection="1"/>
    <xf numFmtId="173" fontId="7" fillId="0" borderId="28" xfId="1208" applyNumberFormat="1" applyFont="1" applyBorder="1" applyProtection="1"/>
    <xf numFmtId="173" fontId="7" fillId="0" borderId="38" xfId="1208" applyNumberFormat="1" applyFont="1" applyBorder="1" applyProtection="1"/>
    <xf numFmtId="170" fontId="7" fillId="0" borderId="28" xfId="1201" applyNumberFormat="1" applyFont="1" applyFill="1" applyBorder="1" applyProtection="1"/>
    <xf numFmtId="170" fontId="7" fillId="0" borderId="20" xfId="1201" applyNumberFormat="1" applyFont="1" applyFill="1" applyBorder="1" applyProtection="1"/>
    <xf numFmtId="174" fontId="7" fillId="0" borderId="28" xfId="1208" applyNumberFormat="1" applyFont="1" applyBorder="1" applyProtection="1"/>
    <xf numFmtId="174" fontId="7" fillId="27" borderId="38" xfId="1208" applyNumberFormat="1" applyFont="1" applyFill="1" applyBorder="1" applyProtection="1"/>
    <xf numFmtId="174" fontId="7" fillId="0" borderId="38" xfId="1208" applyNumberFormat="1" applyFont="1" applyBorder="1" applyProtection="1"/>
    <xf numFmtId="173" fontId="7" fillId="0" borderId="20" xfId="1201" applyNumberFormat="1" applyFont="1" applyFill="1" applyBorder="1" applyProtection="1"/>
    <xf numFmtId="174" fontId="7" fillId="27" borderId="28" xfId="1208" applyNumberFormat="1" applyFont="1" applyFill="1" applyBorder="1" applyProtection="1"/>
    <xf numFmtId="0" fontId="7" fillId="0" borderId="39" xfId="1208" applyNumberFormat="1" applyFont="1" applyBorder="1" applyAlignment="1" applyProtection="1">
      <alignment horizontal="center"/>
    </xf>
    <xf numFmtId="173" fontId="7" fillId="0" borderId="6" xfId="1208" applyNumberFormat="1" applyFont="1" applyBorder="1" applyProtection="1"/>
    <xf numFmtId="173" fontId="7" fillId="0" borderId="39" xfId="1208" applyNumberFormat="1" applyFont="1" applyBorder="1" applyProtection="1"/>
    <xf numFmtId="173" fontId="7" fillId="0" borderId="27" xfId="1201" applyNumberFormat="1" applyFont="1" applyFill="1" applyBorder="1" applyProtection="1"/>
    <xf numFmtId="174" fontId="7" fillId="0" borderId="39" xfId="1208" applyNumberFormat="1" applyFont="1" applyBorder="1" applyProtection="1"/>
    <xf numFmtId="174" fontId="7" fillId="27" borderId="39" xfId="1208" applyNumberFormat="1" applyFont="1" applyFill="1" applyBorder="1" applyProtection="1"/>
    <xf numFmtId="0" fontId="7" fillId="0" borderId="0" xfId="1208" quotePrefix="1" applyFont="1" applyAlignment="1" applyProtection="1">
      <alignment horizontal="left"/>
    </xf>
    <xf numFmtId="174" fontId="7" fillId="0" borderId="0" xfId="1208" applyNumberFormat="1" applyFont="1" applyBorder="1" applyProtection="1"/>
    <xf numFmtId="0" fontId="7" fillId="0" borderId="0" xfId="883" applyFont="1" applyFill="1" applyProtection="1"/>
    <xf numFmtId="173" fontId="7" fillId="0" borderId="0" xfId="883" applyNumberFormat="1" applyFont="1" applyFill="1" applyProtection="1"/>
    <xf numFmtId="43" fontId="7" fillId="0" borderId="0" xfId="535" applyFont="1" applyFill="1" applyProtection="1"/>
    <xf numFmtId="0" fontId="67" fillId="0" borderId="0" xfId="883" applyFont="1" applyFill="1" applyAlignment="1" applyProtection="1"/>
    <xf numFmtId="0" fontId="7" fillId="0" borderId="0" xfId="883" applyFont="1" applyFill="1" applyBorder="1" applyProtection="1"/>
    <xf numFmtId="0" fontId="7" fillId="0" borderId="0" xfId="0" applyFont="1" applyFill="1" applyAlignment="1" applyProtection="1">
      <alignment horizontal="right"/>
    </xf>
    <xf numFmtId="5" fontId="7" fillId="0" borderId="14" xfId="198" applyNumberFormat="1" applyFont="1" applyFill="1" applyBorder="1" applyAlignment="1" applyProtection="1"/>
    <xf numFmtId="173" fontId="7" fillId="0" borderId="0" xfId="198" applyNumberFormat="1" applyFont="1" applyFill="1" applyAlignment="1" applyProtection="1"/>
    <xf numFmtId="37" fontId="22" fillId="27" borderId="0" xfId="535" applyNumberFormat="1" applyFont="1" applyFill="1" applyProtection="1"/>
    <xf numFmtId="173" fontId="22" fillId="27" borderId="0" xfId="1183" applyNumberFormat="1" applyFont="1" applyFill="1" applyBorder="1" applyProtection="1"/>
    <xf numFmtId="0" fontId="87" fillId="27" borderId="0" xfId="1183" applyNumberFormat="1" applyFont="1" applyFill="1" applyBorder="1" applyAlignment="1" applyProtection="1">
      <alignment horizontal="left"/>
    </xf>
    <xf numFmtId="43" fontId="22" fillId="27" borderId="0" xfId="1183" applyFont="1" applyFill="1" applyBorder="1" applyProtection="1"/>
    <xf numFmtId="43" fontId="87" fillId="27" borderId="0" xfId="1183" applyFont="1" applyFill="1" applyBorder="1" applyProtection="1"/>
    <xf numFmtId="40" fontId="7" fillId="0" borderId="0" xfId="0" applyNumberFormat="1" applyFont="1" applyFill="1" applyProtection="1"/>
    <xf numFmtId="0" fontId="11" fillId="0" borderId="0" xfId="1176" applyFont="1" applyFill="1" applyBorder="1" applyProtection="1"/>
    <xf numFmtId="0" fontId="87" fillId="27" borderId="0" xfId="1183" applyNumberFormat="1" applyFont="1" applyFill="1" applyBorder="1" applyProtection="1"/>
    <xf numFmtId="191" fontId="7" fillId="0" borderId="0" xfId="0" applyNumberFormat="1" applyFont="1" applyFill="1" applyProtection="1"/>
    <xf numFmtId="0" fontId="7" fillId="0" borderId="0" xfId="882" applyNumberFormat="1" applyFont="1" applyFill="1" applyProtection="1"/>
    <xf numFmtId="184" fontId="7" fillId="0" borderId="0" xfId="882" applyNumberFormat="1" applyFont="1" applyFill="1" applyProtection="1"/>
    <xf numFmtId="0" fontId="7" fillId="0" borderId="0" xfId="882" applyFont="1" applyFill="1" applyProtection="1"/>
    <xf numFmtId="173" fontId="89" fillId="27" borderId="0" xfId="1183" applyNumberFormat="1" applyFont="1" applyFill="1" applyBorder="1" applyProtection="1"/>
    <xf numFmtId="173" fontId="7" fillId="0" borderId="0" xfId="1183" applyNumberFormat="1" applyFont="1" applyFill="1" applyProtection="1"/>
    <xf numFmtId="173" fontId="160" fillId="27" borderId="0" xfId="1183" applyNumberFormat="1" applyFont="1" applyFill="1" applyBorder="1" applyProtection="1"/>
    <xf numFmtId="0" fontId="7" fillId="0" borderId="0" xfId="0" applyFont="1" applyFill="1" applyAlignment="1" applyProtection="1">
      <alignment vertical="center"/>
    </xf>
    <xf numFmtId="0" fontId="7" fillId="0" borderId="0" xfId="882" applyNumberFormat="1" applyFont="1" applyFill="1" applyAlignment="1" applyProtection="1">
      <alignment horizontal="center"/>
    </xf>
    <xf numFmtId="0" fontId="7" fillId="0" borderId="66" xfId="1172" applyNumberFormat="1" applyFont="1" applyBorder="1" applyAlignment="1" applyProtection="1">
      <alignment horizontal="center"/>
    </xf>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4" fillId="0" borderId="0" xfId="1533" applyNumberFormat="1" applyFont="1" applyFill="1" applyProtection="1"/>
    <xf numFmtId="173" fontId="10" fillId="0" borderId="0" xfId="1533" applyNumberFormat="1" applyFont="1" applyFill="1" applyProtection="1"/>
    <xf numFmtId="173" fontId="84" fillId="0" borderId="0" xfId="1533" applyNumberFormat="1" applyFont="1" applyFill="1" applyBorder="1" applyAlignment="1" applyProtection="1">
      <alignment horizontal="center"/>
    </xf>
    <xf numFmtId="10" fontId="7" fillId="0" borderId="0" xfId="1534" applyNumberFormat="1" applyFont="1" applyProtection="1"/>
    <xf numFmtId="173" fontId="84" fillId="0" borderId="0" xfId="1533" applyNumberFormat="1" applyFont="1" applyFill="1" applyAlignment="1" applyProtection="1">
      <alignment horizontal="center"/>
    </xf>
    <xf numFmtId="173" fontId="196" fillId="0" borderId="6" xfId="1533" applyNumberFormat="1" applyFont="1" applyFill="1" applyBorder="1" applyProtection="1"/>
    <xf numFmtId="173" fontId="10" fillId="0" borderId="2" xfId="1533" applyNumberFormat="1" applyFont="1" applyFill="1" applyBorder="1" applyProtection="1"/>
    <xf numFmtId="173" fontId="196" fillId="0" borderId="2" xfId="1533" applyNumberFormat="1" applyFont="1" applyFill="1" applyBorder="1" applyProtection="1"/>
    <xf numFmtId="173" fontId="10" fillId="0" borderId="0" xfId="1533" applyNumberFormat="1" applyFont="1" applyFill="1" applyBorder="1" applyProtection="1"/>
    <xf numFmtId="173" fontId="10" fillId="0" borderId="11" xfId="1533" applyNumberFormat="1" applyFont="1" applyFill="1" applyBorder="1" applyProtection="1"/>
    <xf numFmtId="173" fontId="196" fillId="0" borderId="11" xfId="1533" applyNumberFormat="1" applyFont="1" applyFill="1" applyBorder="1" applyProtection="1"/>
    <xf numFmtId="43" fontId="7" fillId="0" borderId="0" xfId="1208" applyNumberFormat="1" applyFont="1" applyFill="1" applyBorder="1" applyProtection="1"/>
    <xf numFmtId="173" fontId="196" fillId="0" borderId="6" xfId="1201" applyNumberFormat="1" applyFont="1" applyFill="1" applyBorder="1" applyProtection="1"/>
    <xf numFmtId="0" fontId="10" fillId="0" borderId="0" xfId="1535" applyFont="1" applyAlignment="1" applyProtection="1"/>
    <xf numFmtId="0" fontId="18" fillId="0" borderId="0" xfId="1535" applyFont="1" applyAlignment="1" applyProtection="1"/>
    <xf numFmtId="174" fontId="18" fillId="0" borderId="0" xfId="1535" applyNumberFormat="1" applyFont="1" applyBorder="1" applyAlignment="1" applyProtection="1"/>
    <xf numFmtId="1" fontId="18" fillId="0" borderId="0" xfId="1535" applyNumberFormat="1" applyFont="1" applyAlignment="1" applyProtection="1">
      <alignment horizontal="left"/>
    </xf>
    <xf numFmtId="0" fontId="18" fillId="0" borderId="0" xfId="1535" quotePrefix="1" applyFont="1" applyAlignment="1" applyProtection="1">
      <alignment horizontal="left"/>
    </xf>
    <xf numFmtId="1" fontId="18" fillId="0" borderId="0" xfId="1535" applyNumberFormat="1" applyFont="1" applyAlignment="1" applyProtection="1">
      <alignment horizontal="center"/>
    </xf>
    <xf numFmtId="14" fontId="18" fillId="0" borderId="0" xfId="1535" quotePrefix="1" applyNumberFormat="1" applyFont="1" applyAlignment="1" applyProtection="1">
      <alignment horizontal="left"/>
    </xf>
    <xf numFmtId="43" fontId="18" fillId="0" borderId="0" xfId="1535" applyNumberFormat="1" applyFont="1" applyAlignment="1" applyProtection="1"/>
    <xf numFmtId="10" fontId="18" fillId="0" borderId="0" xfId="1535" applyNumberFormat="1" applyFont="1" applyAlignment="1" applyProtection="1"/>
    <xf numFmtId="0" fontId="18" fillId="0" borderId="0" xfId="1535" quotePrefix="1" applyFont="1" applyBorder="1" applyAlignment="1" applyProtection="1">
      <alignment horizontal="left"/>
    </xf>
    <xf numFmtId="43" fontId="18" fillId="0" borderId="0" xfId="1535" applyNumberFormat="1" applyFont="1" applyBorder="1" applyAlignment="1" applyProtection="1"/>
    <xf numFmtId="0" fontId="200" fillId="0" borderId="0" xfId="1535" applyFont="1" applyAlignment="1" applyProtection="1"/>
    <xf numFmtId="0" fontId="18" fillId="0" borderId="0" xfId="1535" applyFont="1" applyAlignment="1" applyProtection="1">
      <alignment horizontal="left"/>
    </xf>
    <xf numFmtId="0" fontId="18" fillId="0" borderId="0" xfId="1535" applyFont="1" applyBorder="1" applyAlignment="1" applyProtection="1"/>
    <xf numFmtId="10" fontId="18" fillId="0" borderId="0" xfId="1535" applyNumberFormat="1" applyFont="1" applyBorder="1" applyAlignment="1" applyProtection="1"/>
    <xf numFmtId="164" fontId="18" fillId="0" borderId="0" xfId="1535" applyNumberFormat="1" applyFont="1" applyAlignment="1" applyProtection="1"/>
    <xf numFmtId="49" fontId="10" fillId="0" borderId="0" xfId="1409" applyNumberFormat="1" applyFont="1" applyFill="1" applyBorder="1" applyAlignment="1" applyProtection="1">
      <alignment horizontal="center"/>
    </xf>
    <xf numFmtId="49" fontId="10" fillId="0" borderId="0" xfId="1409" applyNumberFormat="1" applyFont="1" applyFill="1" applyBorder="1" applyAlignment="1" applyProtection="1">
      <alignment horizontal="left"/>
    </xf>
    <xf numFmtId="0" fontId="12" fillId="0" borderId="0" xfId="1409" quotePrefix="1" applyFont="1" applyFill="1" applyBorder="1" applyAlignment="1" applyProtection="1">
      <alignment horizontal="center"/>
    </xf>
    <xf numFmtId="0" fontId="20" fillId="0" borderId="0" xfId="1409" quotePrefix="1" applyFont="1" applyFill="1" applyBorder="1" applyAlignment="1" applyProtection="1">
      <alignment horizontal="center"/>
    </xf>
    <xf numFmtId="0" fontId="20" fillId="0" borderId="0" xfId="1176" applyFont="1" applyFill="1" applyAlignment="1" applyProtection="1">
      <alignment horizontal="center"/>
    </xf>
    <xf numFmtId="190" fontId="20" fillId="0" borderId="0" xfId="1409" applyNumberFormat="1" applyFont="1" applyFill="1" applyBorder="1" applyAlignment="1" applyProtection="1">
      <alignment horizontal="center"/>
    </xf>
    <xf numFmtId="14" fontId="7" fillId="0" borderId="0" xfId="1409" applyNumberFormat="1" applyFont="1" applyFill="1" applyBorder="1" applyAlignment="1" applyProtection="1">
      <alignment horizontal="center" wrapText="1"/>
    </xf>
    <xf numFmtId="0" fontId="7" fillId="0" borderId="0" xfId="1528" applyFont="1" applyFill="1" applyProtection="1"/>
    <xf numFmtId="0" fontId="7" fillId="0" borderId="2" xfId="1409" applyFont="1" applyFill="1" applyBorder="1" applyProtection="1"/>
    <xf numFmtId="173" fontId="7" fillId="0" borderId="2" xfId="1409" applyNumberFormat="1" applyFont="1" applyFill="1" applyBorder="1" applyProtection="1"/>
    <xf numFmtId="43" fontId="7" fillId="0" borderId="0" xfId="1533" applyFont="1" applyFill="1" applyBorder="1" applyProtection="1"/>
    <xf numFmtId="43" fontId="80" fillId="0" borderId="0" xfId="1533" applyFont="1" applyFill="1" applyBorder="1" applyProtection="1"/>
    <xf numFmtId="43" fontId="10" fillId="0" borderId="0" xfId="1533" applyFont="1" applyFill="1" applyBorder="1" applyProtection="1"/>
    <xf numFmtId="43" fontId="12" fillId="0" borderId="0" xfId="1533" applyFont="1" applyFill="1" applyBorder="1" applyProtection="1"/>
    <xf numFmtId="1" fontId="7" fillId="0" borderId="0" xfId="1409" applyNumberFormat="1" applyFont="1" applyFill="1" applyBorder="1" applyAlignment="1" applyProtection="1">
      <alignment horizontal="center"/>
    </xf>
    <xf numFmtId="43" fontId="7" fillId="27" borderId="0" xfId="1533" applyFont="1" applyFill="1" applyBorder="1" applyProtection="1"/>
    <xf numFmtId="43" fontId="80" fillId="27" borderId="0" xfId="1533" applyFont="1" applyFill="1" applyBorder="1" applyProtection="1"/>
    <xf numFmtId="43" fontId="7" fillId="27" borderId="0" xfId="1533" applyFont="1" applyFill="1" applyBorder="1" applyAlignment="1" applyProtection="1">
      <alignment horizontal="center"/>
    </xf>
    <xf numFmtId="0" fontId="7" fillId="27" borderId="0" xfId="1533" applyNumberFormat="1" applyFont="1" applyFill="1" applyBorder="1" applyAlignment="1" applyProtection="1">
      <alignment horizontal="center"/>
    </xf>
    <xf numFmtId="173" fontId="7" fillId="27" borderId="0" xfId="1533" applyNumberFormat="1" applyFont="1" applyFill="1" applyBorder="1" applyProtection="1"/>
    <xf numFmtId="0" fontId="7" fillId="27" borderId="0" xfId="1533" quotePrefix="1" applyNumberFormat="1" applyFont="1" applyFill="1" applyBorder="1" applyAlignment="1" applyProtection="1">
      <alignment horizontal="center"/>
    </xf>
    <xf numFmtId="43" fontId="7" fillId="0" borderId="2" xfId="1533" applyFont="1" applyFill="1" applyBorder="1" applyProtection="1"/>
    <xf numFmtId="43" fontId="80" fillId="0" borderId="2" xfId="1533" applyFont="1" applyFill="1" applyBorder="1" applyProtection="1"/>
    <xf numFmtId="0" fontId="7" fillId="0" borderId="2" xfId="1533" applyNumberFormat="1" applyFont="1" applyFill="1" applyBorder="1" applyAlignment="1" applyProtection="1">
      <alignment horizontal="center"/>
    </xf>
    <xf numFmtId="173" fontId="7" fillId="0" borderId="2" xfId="1533" applyNumberFormat="1" applyFont="1" applyFill="1" applyBorder="1" applyProtection="1"/>
    <xf numFmtId="0" fontId="7" fillId="0" borderId="0" xfId="1533" applyNumberFormat="1" applyFont="1" applyFill="1" applyBorder="1" applyAlignment="1" applyProtection="1">
      <alignment horizontal="center"/>
    </xf>
    <xf numFmtId="173" fontId="7" fillId="0" borderId="0" xfId="1533" applyNumberFormat="1" applyFont="1" applyFill="1" applyBorder="1" applyProtection="1"/>
    <xf numFmtId="0" fontId="195" fillId="0" borderId="0" xfId="1409" applyFont="1" applyFill="1" applyBorder="1" applyProtection="1"/>
    <xf numFmtId="0" fontId="7" fillId="0" borderId="11" xfId="1409" applyFont="1" applyFill="1" applyBorder="1" applyProtection="1"/>
    <xf numFmtId="0" fontId="7" fillId="0" borderId="11" xfId="1409" applyFont="1" applyFill="1" applyBorder="1" applyAlignment="1" applyProtection="1">
      <alignment horizontal="center" wrapText="1"/>
    </xf>
    <xf numFmtId="190" fontId="20" fillId="0" borderId="11" xfId="1409" applyNumberFormat="1" applyFont="1" applyFill="1" applyBorder="1" applyAlignment="1" applyProtection="1">
      <alignment horizontal="center" wrapText="1"/>
    </xf>
    <xf numFmtId="0" fontId="20" fillId="0" borderId="11" xfId="1409" quotePrefix="1" applyFont="1" applyFill="1" applyBorder="1" applyAlignment="1" applyProtection="1">
      <alignment horizontal="center" wrapText="1"/>
    </xf>
    <xf numFmtId="14" fontId="7" fillId="27" borderId="0" xfId="1533" applyNumberFormat="1" applyFont="1" applyFill="1" applyBorder="1" applyAlignment="1" applyProtection="1">
      <alignment horizontal="center"/>
    </xf>
    <xf numFmtId="173" fontId="7" fillId="27" borderId="0" xfId="1533" applyNumberFormat="1" applyFont="1" applyFill="1" applyBorder="1" applyAlignment="1" applyProtection="1">
      <alignment horizontal="center"/>
    </xf>
    <xf numFmtId="181" fontId="7" fillId="27" borderId="0" xfId="1533" applyNumberFormat="1" applyFont="1" applyFill="1" applyBorder="1" applyProtection="1"/>
    <xf numFmtId="181" fontId="7" fillId="27" borderId="0" xfId="1533" applyNumberFormat="1" applyFont="1" applyFill="1" applyBorder="1" applyAlignment="1" applyProtection="1">
      <alignment horizontal="center"/>
    </xf>
    <xf numFmtId="3" fontId="57" fillId="0" borderId="0" xfId="1528" applyNumberFormat="1" applyFont="1" applyFill="1" applyAlignment="1" applyProtection="1"/>
    <xf numFmtId="3" fontId="57" fillId="0" borderId="0" xfId="1528" applyNumberFormat="1" applyFont="1" applyFill="1" applyAlignment="1" applyProtection="1">
      <alignment horizontal="center" vertical="top" wrapText="1"/>
    </xf>
    <xf numFmtId="3" fontId="57" fillId="0" borderId="0" xfId="1528" applyNumberFormat="1" applyFont="1" applyFill="1" applyAlignment="1" applyProtection="1">
      <alignment wrapText="1"/>
    </xf>
    <xf numFmtId="3" fontId="57" fillId="0" borderId="0" xfId="1528" applyNumberFormat="1" applyFont="1" applyFill="1" applyAlignment="1" applyProtection="1">
      <alignment horizontal="left" vertical="top" wrapText="1"/>
    </xf>
    <xf numFmtId="3" fontId="57" fillId="0" borderId="0" xfId="1528" applyNumberFormat="1" applyFont="1" applyFill="1" applyAlignment="1" applyProtection="1">
      <alignment horizontal="left" wrapText="1"/>
    </xf>
    <xf numFmtId="0" fontId="20" fillId="0" borderId="0" xfId="878" applyFont="1" applyFill="1" applyAlignment="1">
      <alignment horizontal="center" wrapText="1"/>
    </xf>
    <xf numFmtId="173" fontId="7" fillId="0" borderId="0" xfId="198" applyNumberFormat="1" applyFont="1" applyFill="1" applyBorder="1" applyAlignment="1"/>
    <xf numFmtId="0" fontId="7" fillId="0" borderId="67" xfId="1173" applyFont="1" applyBorder="1" applyAlignment="1">
      <alignment horizontal="left"/>
    </xf>
    <xf numFmtId="173" fontId="7" fillId="0" borderId="15" xfId="1619" applyNumberFormat="1" applyFont="1" applyBorder="1"/>
    <xf numFmtId="173" fontId="7" fillId="0" borderId="67" xfId="1619" applyNumberFormat="1" applyFont="1" applyBorder="1"/>
    <xf numFmtId="173" fontId="7" fillId="0" borderId="66" xfId="1619" applyNumberFormat="1" applyFont="1" applyBorder="1"/>
    <xf numFmtId="0" fontId="7" fillId="0" borderId="69" xfId="1173" applyFont="1" applyBorder="1" applyAlignment="1">
      <alignment horizontal="left"/>
    </xf>
    <xf numFmtId="173" fontId="7" fillId="0" borderId="66" xfId="1175" applyNumberFormat="1" applyFont="1" applyBorder="1"/>
    <xf numFmtId="173" fontId="7" fillId="0" borderId="15" xfId="1175" applyNumberFormat="1" applyFont="1" applyBorder="1"/>
    <xf numFmtId="173" fontId="7" fillId="0" borderId="66" xfId="1201" applyNumberFormat="1" applyFont="1" applyBorder="1"/>
    <xf numFmtId="173" fontId="7" fillId="0" borderId="15" xfId="1201" applyNumberFormat="1" applyFont="1" applyBorder="1"/>
    <xf numFmtId="173" fontId="7" fillId="0" borderId="67" xfId="1201" applyNumberFormat="1" applyFont="1" applyBorder="1"/>
    <xf numFmtId="37" fontId="87" fillId="27" borderId="0" xfId="0" applyNumberFormat="1" applyFont="1" applyFill="1"/>
    <xf numFmtId="173" fontId="87" fillId="27" borderId="0" xfId="1201" applyNumberFormat="1" applyFont="1" applyFill="1" applyBorder="1"/>
    <xf numFmtId="0" fontId="20" fillId="0" borderId="0" xfId="1409" applyFont="1" applyFill="1" applyBorder="1" applyAlignment="1">
      <alignment horizontal="center" wrapText="1"/>
    </xf>
    <xf numFmtId="37" fontId="158" fillId="27" borderId="0" xfId="0" applyNumberFormat="1" applyFont="1" applyFill="1"/>
    <xf numFmtId="1" fontId="23" fillId="0" borderId="0" xfId="0" applyNumberFormat="1" applyFont="1" applyFill="1"/>
    <xf numFmtId="1" fontId="23" fillId="66" borderId="0" xfId="0" applyNumberFormat="1" applyFont="1" applyFill="1"/>
    <xf numFmtId="1" fontId="23" fillId="66" borderId="0" xfId="0" applyNumberFormat="1" applyFont="1" applyFill="1" applyAlignment="1">
      <alignment horizontal="right"/>
    </xf>
    <xf numFmtId="1" fontId="23" fillId="66" borderId="0" xfId="0" quotePrefix="1" applyNumberFormat="1" applyFont="1" applyFill="1" applyAlignment="1">
      <alignment horizontal="center"/>
    </xf>
    <xf numFmtId="1" fontId="23" fillId="0" borderId="0" xfId="0" applyNumberFormat="1" applyFont="1"/>
    <xf numFmtId="1" fontId="23" fillId="0" borderId="0" xfId="0" applyNumberFormat="1" applyFont="1" applyAlignment="1">
      <alignment horizontal="center"/>
    </xf>
    <xf numFmtId="1" fontId="23" fillId="66" borderId="0" xfId="0" quotePrefix="1" applyNumberFormat="1" applyFont="1" applyFill="1" applyAlignment="1">
      <alignment horizontal="center" vertical="top"/>
    </xf>
    <xf numFmtId="1" fontId="23" fillId="0" borderId="0" xfId="0" applyNumberFormat="1" applyFont="1" applyFill="1" applyAlignment="1">
      <alignment horizontal="center"/>
    </xf>
    <xf numFmtId="1" fontId="23" fillId="65" borderId="0" xfId="0" applyNumberFormat="1" applyFont="1" applyFill="1"/>
    <xf numFmtId="10" fontId="87" fillId="27" borderId="0" xfId="899" applyNumberFormat="1" applyFont="1" applyFill="1" applyBorder="1" applyAlignment="1">
      <alignment horizontal="right"/>
    </xf>
    <xf numFmtId="0" fontId="10" fillId="0" borderId="0" xfId="1172" applyFont="1" applyFill="1" applyBorder="1" applyAlignment="1" applyProtection="1">
      <alignment horizontal="center"/>
    </xf>
    <xf numFmtId="173" fontId="210" fillId="27" borderId="0" xfId="1201" applyNumberFormat="1" applyFont="1" applyFill="1" applyBorder="1" applyProtection="1"/>
    <xf numFmtId="173" fontId="210" fillId="27" borderId="0" xfId="0" applyNumberFormat="1" applyFont="1" applyFill="1" applyBorder="1" applyProtection="1"/>
    <xf numFmtId="37" fontId="87" fillId="27" borderId="0" xfId="275" applyNumberFormat="1" applyFont="1" applyFill="1" applyBorder="1" applyProtection="1"/>
    <xf numFmtId="172" fontId="10" fillId="0" borderId="0" xfId="881" applyFont="1" applyFill="1" applyAlignment="1"/>
    <xf numFmtId="0" fontId="11" fillId="0" borderId="0" xfId="775" applyFont="1" applyFill="1" applyAlignment="1" applyProtection="1">
      <alignment horizontal="center"/>
    </xf>
    <xf numFmtId="37" fontId="12" fillId="0" borderId="0" xfId="275" applyNumberFormat="1" applyFont="1" applyFill="1" applyProtection="1"/>
    <xf numFmtId="173" fontId="10" fillId="0" borderId="0" xfId="881" applyNumberFormat="1" applyFont="1" applyFill="1" applyAlignment="1" applyProtection="1"/>
    <xf numFmtId="198" fontId="23" fillId="0" borderId="0" xfId="775" applyNumberFormat="1" applyFont="1" applyFill="1" applyProtection="1"/>
    <xf numFmtId="43" fontId="15" fillId="0" borderId="0" xfId="760" applyNumberFormat="1" applyFont="1" applyAlignment="1" applyProtection="1"/>
    <xf numFmtId="186" fontId="18" fillId="0" borderId="0" xfId="862" applyNumberFormat="1" applyFont="1" applyAlignment="1" applyProtection="1"/>
    <xf numFmtId="173" fontId="196" fillId="0" borderId="0" xfId="0" applyNumberFormat="1" applyFont="1" applyFill="1" applyAlignment="1" applyProtection="1"/>
    <xf numFmtId="0" fontId="87" fillId="0" borderId="0" xfId="0" applyFont="1" applyFill="1" applyBorder="1" applyAlignment="1" applyProtection="1">
      <alignment horizontal="left"/>
    </xf>
    <xf numFmtId="0" fontId="0" fillId="0" borderId="0" xfId="0" applyFill="1" applyBorder="1" applyAlignment="1" applyProtection="1">
      <alignment horizontal="left"/>
    </xf>
    <xf numFmtId="2" fontId="7" fillId="0" borderId="0" xfId="2169" applyNumberFormat="1" applyFont="1"/>
    <xf numFmtId="172" fontId="7" fillId="0" borderId="0" xfId="2169" applyFont="1"/>
    <xf numFmtId="172" fontId="7" fillId="0" borderId="0" xfId="2169" applyFont="1" applyAlignment="1">
      <alignment horizontal="right"/>
    </xf>
    <xf numFmtId="0" fontId="2" fillId="0" borderId="0" xfId="2170"/>
    <xf numFmtId="2" fontId="7" fillId="0" borderId="0" xfId="2169" applyNumberFormat="1" applyFont="1" applyAlignment="1">
      <alignment horizontal="center"/>
    </xf>
    <xf numFmtId="172" fontId="7" fillId="0" borderId="0" xfId="2169" applyFont="1" applyAlignment="1">
      <alignment horizontal="center"/>
    </xf>
    <xf numFmtId="172" fontId="7" fillId="0" borderId="11" xfId="2169" applyFont="1" applyBorder="1" applyAlignment="1">
      <alignment horizontal="center"/>
    </xf>
    <xf numFmtId="172" fontId="74" fillId="0" borderId="0" xfId="2169" applyFont="1" applyFill="1" applyAlignment="1">
      <alignment horizontal="center"/>
    </xf>
    <xf numFmtId="172" fontId="7" fillId="0" borderId="0" xfId="2169" applyFont="1" applyAlignment="1">
      <alignment horizontal="center" wrapText="1"/>
    </xf>
    <xf numFmtId="172" fontId="7" fillId="0" borderId="0" xfId="2169" applyFont="1" applyFill="1" applyAlignment="1">
      <alignment horizontal="center" wrapText="1"/>
    </xf>
    <xf numFmtId="172" fontId="7" fillId="0" borderId="0" xfId="2169" applyFont="1" applyFill="1"/>
    <xf numFmtId="172" fontId="8" fillId="0" borderId="0" xfId="2169" applyFill="1"/>
    <xf numFmtId="172" fontId="74" fillId="0" borderId="0" xfId="2169" applyFont="1"/>
    <xf numFmtId="2" fontId="12" fillId="0" borderId="0" xfId="2169" applyNumberFormat="1" applyFont="1"/>
    <xf numFmtId="173" fontId="7" fillId="0" borderId="0" xfId="2171" applyNumberFormat="1" applyFont="1"/>
    <xf numFmtId="173" fontId="7" fillId="0" borderId="0" xfId="2171" applyNumberFormat="1" applyFont="1" applyFill="1"/>
    <xf numFmtId="1" fontId="7" fillId="0" borderId="0" xfId="2169" applyNumberFormat="1" applyFont="1" applyAlignment="1">
      <alignment horizontal="center"/>
    </xf>
    <xf numFmtId="49" fontId="7" fillId="0" borderId="0" xfId="2171" applyNumberFormat="1" applyFont="1"/>
    <xf numFmtId="170" fontId="7" fillId="0" borderId="0" xfId="2169" applyNumberFormat="1" applyFont="1" applyBorder="1"/>
    <xf numFmtId="9" fontId="7" fillId="0" borderId="0" xfId="2172" applyFont="1" applyFill="1" applyAlignment="1">
      <alignment horizontal="center"/>
    </xf>
    <xf numFmtId="172" fontId="8" fillId="0" borderId="0" xfId="2169"/>
    <xf numFmtId="9" fontId="7" fillId="0" borderId="0" xfId="2172" applyFont="1" applyFill="1"/>
    <xf numFmtId="173" fontId="7" fillId="0" borderId="0" xfId="2171" applyNumberFormat="1" applyFont="1" applyFill="1" applyAlignment="1">
      <alignment horizontal="center"/>
    </xf>
    <xf numFmtId="173" fontId="7" fillId="0" borderId="11" xfId="2171" applyNumberFormat="1" applyFont="1" applyBorder="1"/>
    <xf numFmtId="43" fontId="7" fillId="0" borderId="14" xfId="2171" applyNumberFormat="1" applyFont="1" applyBorder="1"/>
    <xf numFmtId="173" fontId="7" fillId="0" borderId="14" xfId="2171" applyNumberFormat="1" applyFont="1" applyFill="1" applyBorder="1"/>
    <xf numFmtId="173" fontId="7" fillId="0" borderId="0" xfId="2171" applyNumberFormat="1" applyFont="1" applyFill="1" applyBorder="1" applyAlignment="1">
      <alignment horizontal="center"/>
    </xf>
    <xf numFmtId="10" fontId="7" fillId="0" borderId="0" xfId="2172" applyNumberFormat="1" applyFont="1"/>
    <xf numFmtId="172" fontId="74" fillId="0" borderId="0" xfId="2169" applyFont="1" applyFill="1"/>
    <xf numFmtId="2" fontId="7" fillId="0" borderId="0" xfId="2169" applyNumberFormat="1" applyFont="1" applyAlignment="1"/>
    <xf numFmtId="2" fontId="7" fillId="0" borderId="0" xfId="2169" applyNumberFormat="1" applyFont="1" applyAlignment="1">
      <alignment vertical="top"/>
    </xf>
    <xf numFmtId="0" fontId="7" fillId="0" borderId="0" xfId="2170" applyFont="1"/>
    <xf numFmtId="9" fontId="7" fillId="0" borderId="0" xfId="2172" applyFont="1"/>
    <xf numFmtId="0" fontId="190" fillId="0" borderId="0" xfId="2170" applyFont="1"/>
    <xf numFmtId="0" fontId="211" fillId="0" borderId="0" xfId="2170" applyFont="1"/>
    <xf numFmtId="0" fontId="23" fillId="0" borderId="0" xfId="2170" applyFont="1"/>
    <xf numFmtId="0" fontId="23" fillId="0" borderId="0" xfId="2170" applyFont="1" applyAlignment="1">
      <alignment horizontal="center"/>
    </xf>
    <xf numFmtId="0" fontId="10" fillId="0" borderId="0" xfId="2170" applyFont="1" applyAlignment="1"/>
    <xf numFmtId="14" fontId="23" fillId="0" borderId="0" xfId="2170" applyNumberFormat="1" applyFont="1"/>
    <xf numFmtId="0" fontId="23" fillId="0" borderId="0" xfId="1528" applyFont="1"/>
    <xf numFmtId="9" fontId="23" fillId="0" borderId="0" xfId="2173" applyFont="1"/>
    <xf numFmtId="41" fontId="23" fillId="0" borderId="0" xfId="2170" applyNumberFormat="1" applyFont="1"/>
    <xf numFmtId="10" fontId="23" fillId="0" borderId="0" xfId="2006" applyNumberFormat="1" applyFont="1"/>
    <xf numFmtId="172" fontId="23" fillId="0" borderId="0" xfId="2174" applyFont="1" applyAlignment="1"/>
    <xf numFmtId="172" fontId="212" fillId="0" borderId="0" xfId="2174" applyAlignment="1"/>
    <xf numFmtId="0" fontId="23" fillId="0" borderId="11" xfId="2170" applyFont="1" applyBorder="1"/>
    <xf numFmtId="0" fontId="24" fillId="0" borderId="11" xfId="2170" applyFont="1" applyBorder="1" applyAlignment="1">
      <alignment horizontal="center"/>
    </xf>
    <xf numFmtId="0" fontId="24" fillId="0" borderId="11" xfId="2170" applyFont="1" applyBorder="1" applyAlignment="1">
      <alignment horizontal="center" wrapText="1"/>
    </xf>
    <xf numFmtId="0" fontId="24" fillId="0" borderId="14" xfId="2170" applyFont="1" applyBorder="1" applyAlignment="1">
      <alignment horizontal="center" wrapText="1"/>
    </xf>
    <xf numFmtId="0" fontId="24" fillId="0" borderId="11" xfId="2170" applyFont="1" applyFill="1" applyBorder="1" applyAlignment="1">
      <alignment horizontal="center" wrapText="1"/>
    </xf>
    <xf numFmtId="0" fontId="24" fillId="0" borderId="0" xfId="2170" applyFont="1" applyAlignment="1">
      <alignment horizontal="center"/>
    </xf>
    <xf numFmtId="0" fontId="24" fillId="0" borderId="0" xfId="2170" applyFont="1" applyBorder="1" applyAlignment="1">
      <alignment horizontal="center" wrapText="1"/>
    </xf>
    <xf numFmtId="0" fontId="24" fillId="0" borderId="0" xfId="2170" applyFont="1" applyFill="1" applyBorder="1" applyAlignment="1">
      <alignment horizontal="center" wrapText="1"/>
    </xf>
    <xf numFmtId="0" fontId="24" fillId="0" borderId="0" xfId="2170" applyFont="1" applyAlignment="1">
      <alignment horizontal="left"/>
    </xf>
    <xf numFmtId="0" fontId="23" fillId="0" borderId="0" xfId="2170" applyFont="1" applyFill="1"/>
    <xf numFmtId="0" fontId="23" fillId="67" borderId="0" xfId="2170" applyFont="1" applyFill="1"/>
    <xf numFmtId="49" fontId="23" fillId="0" borderId="0" xfId="2170" applyNumberFormat="1" applyFont="1" applyFill="1" applyAlignment="1">
      <alignment horizontal="center"/>
    </xf>
    <xf numFmtId="0" fontId="23" fillId="0" borderId="0" xfId="2170" applyFont="1" applyBorder="1"/>
    <xf numFmtId="0" fontId="23" fillId="0" borderId="0" xfId="2170" applyFont="1" applyFill="1" applyBorder="1" applyAlignment="1">
      <alignment horizontal="center"/>
    </xf>
    <xf numFmtId="41" fontId="23" fillId="68" borderId="12" xfId="1176" applyNumberFormat="1" applyFont="1" applyFill="1" applyBorder="1" applyProtection="1">
      <protection locked="0"/>
    </xf>
    <xf numFmtId="173" fontId="23" fillId="69" borderId="12" xfId="2175" applyNumberFormat="1" applyFont="1" applyFill="1" applyBorder="1"/>
    <xf numFmtId="173" fontId="23" fillId="0" borderId="64" xfId="2175" applyNumberFormat="1" applyFont="1" applyFill="1" applyBorder="1"/>
    <xf numFmtId="173" fontId="23" fillId="0" borderId="12" xfId="2175" applyNumberFormat="1" applyFont="1" applyFill="1" applyBorder="1"/>
    <xf numFmtId="41" fontId="23" fillId="68" borderId="0" xfId="1176" applyNumberFormat="1" applyFont="1" applyFill="1" applyBorder="1" applyProtection="1">
      <protection locked="0"/>
    </xf>
    <xf numFmtId="41" fontId="23" fillId="0" borderId="0" xfId="2170" applyNumberFormat="1" applyFont="1" applyBorder="1" applyAlignment="1">
      <alignment horizontal="center"/>
    </xf>
    <xf numFmtId="0" fontId="24" fillId="0" borderId="0" xfId="2170" applyFont="1" applyBorder="1"/>
    <xf numFmtId="173" fontId="23" fillId="69" borderId="0" xfId="2175" applyNumberFormat="1" applyFont="1" applyFill="1" applyBorder="1"/>
    <xf numFmtId="173" fontId="23" fillId="69" borderId="64" xfId="2175" applyNumberFormat="1" applyFont="1" applyFill="1" applyBorder="1"/>
    <xf numFmtId="41" fontId="23" fillId="0" borderId="12" xfId="1528" applyNumberFormat="1" applyFont="1" applyFill="1" applyBorder="1"/>
    <xf numFmtId="41" fontId="23" fillId="68" borderId="51" xfId="1176" applyNumberFormat="1" applyFont="1" applyFill="1" applyBorder="1" applyAlignment="1" applyProtection="1">
      <alignment vertical="center" wrapText="1"/>
      <protection locked="0"/>
    </xf>
    <xf numFmtId="173" fontId="23" fillId="0" borderId="0" xfId="2176" applyNumberFormat="1" applyFont="1" applyBorder="1" applyAlignment="1">
      <alignment horizontal="center"/>
    </xf>
    <xf numFmtId="49" fontId="23" fillId="0" borderId="0" xfId="2170" applyNumberFormat="1" applyFont="1" applyAlignment="1">
      <alignment horizontal="center"/>
    </xf>
    <xf numFmtId="41" fontId="23" fillId="68" borderId="51" xfId="1176" applyNumberFormat="1" applyFont="1" applyFill="1" applyBorder="1" applyAlignment="1" applyProtection="1">
      <alignment vertical="center"/>
      <protection locked="0"/>
    </xf>
    <xf numFmtId="0" fontId="24" fillId="0" borderId="0" xfId="2170" applyFont="1"/>
    <xf numFmtId="41" fontId="23" fillId="68" borderId="51" xfId="1176" applyNumberFormat="1" applyFont="1" applyFill="1" applyBorder="1" applyAlignment="1" applyProtection="1">
      <alignment vertical="top"/>
      <protection locked="0"/>
    </xf>
    <xf numFmtId="172" fontId="212" fillId="0" borderId="0" xfId="2174" applyFont="1"/>
    <xf numFmtId="172" fontId="212" fillId="0" borderId="0" xfId="2174"/>
    <xf numFmtId="0" fontId="23" fillId="0" borderId="0" xfId="1528" applyFont="1" applyFill="1"/>
    <xf numFmtId="0" fontId="23" fillId="0" borderId="0" xfId="1528" applyFont="1" applyFill="1" applyBorder="1"/>
    <xf numFmtId="0" fontId="23" fillId="0" borderId="0" xfId="2170" applyFont="1" applyFill="1" applyAlignment="1">
      <alignment horizontal="center"/>
    </xf>
    <xf numFmtId="0" fontId="23" fillId="0" borderId="0" xfId="2170" applyFont="1" applyAlignment="1">
      <alignment wrapText="1"/>
    </xf>
    <xf numFmtId="41" fontId="23" fillId="68" borderId="65" xfId="1176" applyNumberFormat="1" applyFont="1" applyFill="1" applyBorder="1" applyProtection="1">
      <protection locked="0"/>
    </xf>
    <xf numFmtId="173" fontId="23" fillId="0" borderId="0" xfId="2175" applyNumberFormat="1" applyFont="1" applyFill="1" applyBorder="1"/>
    <xf numFmtId="173" fontId="23" fillId="0" borderId="0" xfId="2175" applyNumberFormat="1" applyFont="1" applyBorder="1" applyAlignment="1">
      <alignment wrapText="1"/>
    </xf>
    <xf numFmtId="0" fontId="23" fillId="0" borderId="0" xfId="2170" applyFont="1" applyAlignment="1">
      <alignment horizontal="left"/>
    </xf>
    <xf numFmtId="173" fontId="23" fillId="0" borderId="15" xfId="2176" applyNumberFormat="1" applyFont="1" applyBorder="1" applyAlignment="1"/>
    <xf numFmtId="1" fontId="23" fillId="0" borderId="15" xfId="2176" applyNumberFormat="1" applyFont="1" applyBorder="1" applyAlignment="1"/>
    <xf numFmtId="176" fontId="23" fillId="0" borderId="15" xfId="2176" applyNumberFormat="1" applyFont="1" applyBorder="1" applyAlignment="1"/>
    <xf numFmtId="173" fontId="23" fillId="0" borderId="15" xfId="2176" applyNumberFormat="1" applyFont="1" applyFill="1" applyBorder="1" applyAlignment="1"/>
    <xf numFmtId="173" fontId="23" fillId="0" borderId="0" xfId="2175" applyNumberFormat="1" applyFont="1" applyAlignment="1">
      <alignment wrapText="1"/>
    </xf>
    <xf numFmtId="1" fontId="23" fillId="0" borderId="0" xfId="2176" applyNumberFormat="1" applyFont="1" applyBorder="1" applyAlignment="1"/>
    <xf numFmtId="176" fontId="23" fillId="0" borderId="0" xfId="2176" applyNumberFormat="1" applyFont="1" applyBorder="1" applyAlignment="1"/>
    <xf numFmtId="173" fontId="23" fillId="0" borderId="1" xfId="2176" applyNumberFormat="1" applyFont="1" applyBorder="1" applyAlignment="1">
      <alignment horizontal="center"/>
    </xf>
    <xf numFmtId="173" fontId="23" fillId="0" borderId="0" xfId="2176" applyNumberFormat="1" applyFont="1" applyBorder="1" applyAlignment="1"/>
    <xf numFmtId="176" fontId="23" fillId="0" borderId="1" xfId="2176" applyNumberFormat="1" applyFont="1" applyBorder="1" applyAlignment="1">
      <alignment horizontal="center"/>
    </xf>
    <xf numFmtId="0" fontId="23" fillId="0" borderId="11" xfId="2170" applyFont="1" applyBorder="1" applyAlignment="1">
      <alignment horizontal="center" wrapText="1"/>
    </xf>
    <xf numFmtId="173" fontId="23" fillId="0" borderId="11" xfId="2176" applyNumberFormat="1" applyFont="1" applyBorder="1" applyAlignment="1">
      <alignment horizontal="center"/>
    </xf>
    <xf numFmtId="0" fontId="23" fillId="0" borderId="11" xfId="2170" applyFont="1" applyBorder="1" applyAlignment="1">
      <alignment horizontal="center"/>
    </xf>
    <xf numFmtId="173" fontId="23" fillId="0" borderId="11" xfId="2175" applyNumberFormat="1" applyFont="1" applyBorder="1" applyAlignment="1">
      <alignment horizontal="center" wrapText="1"/>
    </xf>
    <xf numFmtId="173" fontId="23" fillId="0" borderId="0" xfId="198" applyNumberFormat="1" applyFont="1"/>
    <xf numFmtId="173" fontId="23" fillId="0" borderId="0" xfId="2170" applyNumberFormat="1" applyFont="1"/>
    <xf numFmtId="173" fontId="23" fillId="0" borderId="0" xfId="198" applyNumberFormat="1" applyFont="1" applyBorder="1" applyAlignment="1"/>
    <xf numFmtId="173" fontId="23" fillId="0" borderId="0" xfId="198" applyNumberFormat="1" applyFont="1" applyAlignment="1"/>
    <xf numFmtId="41" fontId="24" fillId="68" borderId="12" xfId="1176" applyNumberFormat="1" applyFont="1" applyFill="1" applyBorder="1" applyProtection="1">
      <protection locked="0"/>
    </xf>
    <xf numFmtId="173" fontId="23" fillId="0" borderId="0" xfId="198" quotePrefix="1" applyNumberFormat="1" applyFont="1" applyAlignment="1"/>
    <xf numFmtId="173" fontId="23" fillId="0" borderId="14" xfId="2170" applyNumberFormat="1" applyFont="1" applyBorder="1"/>
    <xf numFmtId="0" fontId="7" fillId="0" borderId="0" xfId="1528"/>
    <xf numFmtId="0" fontId="23" fillId="0" borderId="0" xfId="2170" applyFont="1" applyFill="1" applyAlignment="1">
      <alignment vertical="top"/>
    </xf>
    <xf numFmtId="0" fontId="23" fillId="0" borderId="0" xfId="2170" applyFont="1" applyAlignment="1">
      <alignment horizontal="left" vertical="center"/>
    </xf>
    <xf numFmtId="0" fontId="23" fillId="0" borderId="0" xfId="2170" applyFont="1" applyAlignment="1">
      <alignment vertical="top"/>
    </xf>
    <xf numFmtId="0" fontId="23" fillId="0" borderId="0" xfId="2170" applyFont="1" applyAlignment="1">
      <alignment vertical="top" wrapText="1"/>
    </xf>
    <xf numFmtId="0" fontId="23" fillId="0" borderId="0" xfId="2170" applyFont="1" applyFill="1" applyAlignment="1">
      <alignment horizontal="left"/>
    </xf>
    <xf numFmtId="0" fontId="23" fillId="0" borderId="0" xfId="2170" applyFont="1" applyAlignment="1"/>
    <xf numFmtId="0" fontId="7" fillId="0" borderId="0" xfId="2170" applyFont="1" applyAlignment="1">
      <alignment vertical="center"/>
    </xf>
    <xf numFmtId="0" fontId="7" fillId="0" borderId="0" xfId="1528" applyFont="1"/>
    <xf numFmtId="0" fontId="7" fillId="0" borderId="0" xfId="2170" applyFont="1" applyAlignment="1">
      <alignment horizontal="left" vertical="center"/>
    </xf>
    <xf numFmtId="0" fontId="7" fillId="0" borderId="0" xfId="2170" applyFont="1" applyAlignment="1">
      <alignment horizontal="center"/>
    </xf>
    <xf numFmtId="0" fontId="24" fillId="0" borderId="0" xfId="2170" applyFont="1" applyAlignment="1">
      <alignment horizontal="left" vertical="center"/>
    </xf>
    <xf numFmtId="173" fontId="23" fillId="0" borderId="0" xfId="2170" applyNumberFormat="1" applyFont="1" applyAlignment="1">
      <alignment horizontal="left" vertical="center"/>
    </xf>
    <xf numFmtId="0" fontId="190" fillId="27" borderId="12" xfId="198" applyNumberFormat="1" applyFont="1" applyFill="1" applyBorder="1" applyAlignment="1" applyProtection="1">
      <alignment horizontal="center"/>
    </xf>
    <xf numFmtId="0" fontId="193" fillId="0" borderId="12" xfId="198" applyNumberFormat="1" applyFont="1" applyFill="1" applyBorder="1" applyAlignment="1" applyProtection="1">
      <alignment horizontal="center"/>
    </xf>
    <xf numFmtId="172" fontId="7" fillId="0" borderId="6" xfId="2169" applyFont="1" applyBorder="1" applyAlignment="1"/>
    <xf numFmtId="173" fontId="7" fillId="0" borderId="11" xfId="2171" applyNumberFormat="1" applyFont="1" applyFill="1" applyBorder="1"/>
    <xf numFmtId="10" fontId="7" fillId="0" borderId="0" xfId="2172" applyNumberFormat="1" applyFont="1" applyFill="1" applyAlignment="1">
      <alignment horizontal="center"/>
    </xf>
    <xf numFmtId="10" fontId="7" fillId="0" borderId="0" xfId="2171" applyNumberFormat="1" applyFont="1" applyFill="1" applyAlignment="1">
      <alignment horizontal="center"/>
    </xf>
    <xf numFmtId="10" fontId="7" fillId="0" borderId="0" xfId="2169" applyNumberFormat="1" applyFont="1"/>
    <xf numFmtId="175" fontId="7" fillId="0" borderId="0" xfId="2172" applyNumberFormat="1" applyFont="1" applyFill="1"/>
    <xf numFmtId="164" fontId="7" fillId="0" borderId="0" xfId="2177" applyNumberFormat="1" applyFont="1" applyFill="1"/>
    <xf numFmtId="2" fontId="74" fillId="0" borderId="0" xfId="2169" applyNumberFormat="1" applyFont="1"/>
    <xf numFmtId="173" fontId="23" fillId="0" borderId="15" xfId="198" applyNumberFormat="1" applyFont="1" applyBorder="1" applyAlignment="1"/>
    <xf numFmtId="14" fontId="23" fillId="0" borderId="0" xfId="2176" applyNumberFormat="1" applyFont="1" applyBorder="1" applyAlignment="1"/>
    <xf numFmtId="0" fontId="23" fillId="0" borderId="0" xfId="2170" applyFont="1" applyFill="1" applyAlignment="1">
      <alignment vertical="top" wrapText="1"/>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87" fillId="27" borderId="0" xfId="0" applyNumberFormat="1" applyFont="1" applyFill="1" applyBorder="1" applyAlignment="1" applyProtection="1">
      <alignment horizontal="center"/>
    </xf>
    <xf numFmtId="0" fontId="87" fillId="27" borderId="0" xfId="0" applyFont="1" applyFill="1" applyAlignment="1" applyProtection="1">
      <alignment horizontal="center"/>
    </xf>
    <xf numFmtId="0" fontId="87" fillId="27" borderId="0" xfId="0" applyFont="1" applyFill="1" applyBorder="1" applyAlignment="1" applyProtection="1">
      <alignment horizontal="center"/>
    </xf>
    <xf numFmtId="43" fontId="7" fillId="0" borderId="0" xfId="1530" applyFill="1" applyBorder="1" applyAlignment="1" applyProtection="1">
      <alignment horizontal="center"/>
    </xf>
    <xf numFmtId="43" fontId="7" fillId="0" borderId="0" xfId="1531" applyFill="1" applyBorder="1" applyAlignment="1" applyProtection="1">
      <alignment horizontal="center"/>
    </xf>
    <xf numFmtId="43" fontId="7" fillId="0" borderId="0" xfId="1201" applyFont="1" applyFill="1" applyBorder="1" applyAlignment="1" applyProtection="1">
      <alignment horizontal="center"/>
    </xf>
    <xf numFmtId="43" fontId="7" fillId="0" borderId="0" xfId="1529" applyBorder="1" applyAlignment="1" applyProtection="1">
      <alignment horizontal="center"/>
    </xf>
    <xf numFmtId="0" fontId="87" fillId="0" borderId="0" xfId="0" applyFont="1" applyFill="1" applyBorder="1" applyAlignment="1" applyProtection="1">
      <alignment horizontal="center"/>
    </xf>
    <xf numFmtId="0" fontId="0" fillId="0" borderId="0" xfId="0" applyFill="1" applyBorder="1" applyAlignment="1" applyProtection="1">
      <alignment horizontal="center"/>
    </xf>
    <xf numFmtId="0" fontId="87" fillId="0" borderId="0" xfId="0" applyFont="1" applyFill="1" applyAlignment="1" applyProtection="1">
      <alignment horizontal="center"/>
    </xf>
    <xf numFmtId="43" fontId="135" fillId="0" borderId="0" xfId="231" applyBorder="1" applyAlignment="1" applyProtection="1">
      <alignment horizontal="center"/>
    </xf>
    <xf numFmtId="0" fontId="87" fillId="27" borderId="0" xfId="0" quotePrefix="1" applyFont="1" applyFill="1" applyAlignment="1" applyProtection="1">
      <alignment horizontal="center"/>
    </xf>
    <xf numFmtId="0" fontId="87" fillId="27" borderId="0" xfId="275" applyNumberFormat="1" applyFont="1" applyFill="1" applyBorder="1" applyAlignment="1" applyProtection="1">
      <alignment horizontal="center"/>
    </xf>
    <xf numFmtId="43" fontId="15" fillId="0" borderId="0" xfId="275" applyFont="1" applyFill="1" applyBorder="1" applyAlignment="1" applyProtection="1">
      <alignment horizontal="center"/>
    </xf>
    <xf numFmtId="43" fontId="135" fillId="0" borderId="0" xfId="233" applyFill="1" applyBorder="1" applyAlignment="1" applyProtection="1">
      <alignment horizontal="center"/>
    </xf>
    <xf numFmtId="0" fontId="0" fillId="0" borderId="0" xfId="0" applyFill="1" applyAlignment="1" applyProtection="1">
      <alignment horizontal="center"/>
    </xf>
    <xf numFmtId="43" fontId="135" fillId="0" borderId="0" xfId="235" applyFill="1" applyBorder="1" applyAlignment="1" applyProtection="1">
      <alignment horizontal="center"/>
    </xf>
    <xf numFmtId="0" fontId="1" fillId="0" borderId="0" xfId="2178"/>
    <xf numFmtId="0" fontId="215" fillId="0" borderId="0" xfId="2179" applyFont="1" applyFill="1" applyBorder="1">
      <alignment vertical="top"/>
    </xf>
    <xf numFmtId="0" fontId="216" fillId="0" borderId="0" xfId="2179" applyFont="1" applyFill="1" applyBorder="1">
      <alignment vertical="top"/>
    </xf>
    <xf numFmtId="41" fontId="215" fillId="0" borderId="0" xfId="2180" applyFont="1" applyFill="1" applyBorder="1" applyAlignment="1">
      <alignment vertical="top"/>
    </xf>
    <xf numFmtId="175" fontId="1" fillId="0" borderId="11" xfId="2172" applyNumberFormat="1" applyFont="1" applyFill="1" applyBorder="1" applyAlignment="1">
      <alignment vertical="top"/>
    </xf>
    <xf numFmtId="175" fontId="215" fillId="0" borderId="0" xfId="2172" applyNumberFormat="1" applyFont="1" applyFill="1" applyBorder="1" applyAlignment="1">
      <alignment vertical="top"/>
    </xf>
    <xf numFmtId="41" fontId="1" fillId="0" borderId="0" xfId="2180" applyFont="1" applyFill="1" applyBorder="1" applyAlignment="1">
      <alignment vertical="top"/>
    </xf>
    <xf numFmtId="187" fontId="1" fillId="0" borderId="11" xfId="2172" applyNumberFormat="1" applyFont="1" applyFill="1" applyBorder="1" applyAlignment="1">
      <alignment vertical="top"/>
    </xf>
    <xf numFmtId="175" fontId="215" fillId="0" borderId="11" xfId="2181" applyNumberFormat="1" applyFont="1" applyFill="1" applyBorder="1" applyAlignment="1">
      <alignment vertical="top"/>
    </xf>
    <xf numFmtId="41" fontId="215" fillId="0" borderId="0" xfId="2179" applyNumberFormat="1" applyFont="1" applyFill="1" applyBorder="1">
      <alignment vertical="top"/>
    </xf>
    <xf numFmtId="173" fontId="7" fillId="0" borderId="0" xfId="2182" applyNumberFormat="1" applyFont="1"/>
    <xf numFmtId="10" fontId="7" fillId="0" borderId="0" xfId="2172" applyNumberFormat="1" applyFont="1" applyFill="1"/>
    <xf numFmtId="43" fontId="7" fillId="0" borderId="0" xfId="2182" applyFont="1" applyFill="1" applyAlignment="1">
      <alignment horizontal="center"/>
    </xf>
    <xf numFmtId="41" fontId="215" fillId="0" borderId="15" xfId="2180" applyFont="1" applyFill="1" applyBorder="1" applyAlignment="1">
      <alignment vertical="top"/>
    </xf>
    <xf numFmtId="0" fontId="215" fillId="0" borderId="0" xfId="2179" applyFont="1" applyBorder="1" applyAlignment="1">
      <alignment vertical="top" wrapText="1"/>
    </xf>
    <xf numFmtId="173" fontId="7" fillId="0" borderId="0" xfId="2182" applyNumberFormat="1" applyFont="1" applyFill="1"/>
    <xf numFmtId="173" fontId="7" fillId="0" borderId="14" xfId="2182" applyNumberFormat="1" applyFont="1" applyBorder="1"/>
    <xf numFmtId="10" fontId="7" fillId="0" borderId="0" xfId="2183" applyNumberFormat="1" applyFont="1" applyFill="1" applyBorder="1" applyAlignment="1">
      <alignment horizontal="center"/>
    </xf>
    <xf numFmtId="173" fontId="1" fillId="0" borderId="0" xfId="2178" applyNumberFormat="1"/>
    <xf numFmtId="0" fontId="7" fillId="0" borderId="0" xfId="2178" applyFont="1"/>
    <xf numFmtId="0" fontId="190" fillId="0" borderId="0" xfId="2178" applyFont="1"/>
    <xf numFmtId="0" fontId="211" fillId="0" borderId="0" xfId="2178" applyFont="1"/>
    <xf numFmtId="172" fontId="217" fillId="0" borderId="0" xfId="2169" applyFont="1"/>
    <xf numFmtId="172" fontId="217" fillId="0" borderId="11" xfId="2169" applyFont="1" applyBorder="1" applyAlignment="1">
      <alignment horizontal="center"/>
    </xf>
    <xf numFmtId="172" fontId="217" fillId="0" borderId="6" xfId="2169" applyFont="1" applyBorder="1" applyAlignment="1"/>
    <xf numFmtId="172" fontId="217" fillId="0" borderId="0" xfId="2169" applyFont="1" applyFill="1" applyAlignment="1">
      <alignment horizontal="center" wrapText="1"/>
    </xf>
    <xf numFmtId="2" fontId="12" fillId="0" borderId="0" xfId="2169" applyNumberFormat="1" applyFont="1" applyAlignment="1">
      <alignment horizontal="left"/>
    </xf>
    <xf numFmtId="173" fontId="7" fillId="0" borderId="0" xfId="2182" applyNumberFormat="1" applyFont="1" applyAlignment="1">
      <alignment horizontal="center"/>
    </xf>
    <xf numFmtId="172" fontId="7" fillId="0" borderId="0" xfId="2169" quotePrefix="1" applyFont="1"/>
    <xf numFmtId="10" fontId="1" fillId="0" borderId="11" xfId="2172" applyNumberFormat="1" applyFont="1" applyFill="1" applyBorder="1" applyAlignment="1">
      <alignment vertical="top"/>
    </xf>
    <xf numFmtId="41" fontId="215" fillId="0" borderId="11" xfId="2180" applyFont="1" applyFill="1" applyBorder="1" applyAlignment="1">
      <alignment vertical="top"/>
    </xf>
    <xf numFmtId="10" fontId="215" fillId="0" borderId="11" xfId="2179" applyNumberFormat="1" applyFont="1" applyFill="1" applyBorder="1">
      <alignment vertical="top"/>
    </xf>
    <xf numFmtId="49" fontId="219" fillId="0" borderId="0" xfId="2184" applyNumberFormat="1" applyFont="1" applyFill="1" applyBorder="1">
      <alignment horizontal="center" vertical="center" wrapText="1" indent="1"/>
    </xf>
    <xf numFmtId="175" fontId="215" fillId="0" borderId="11" xfId="2183" applyNumberFormat="1" applyFont="1" applyFill="1" applyBorder="1" applyAlignment="1">
      <alignment vertical="top"/>
    </xf>
    <xf numFmtId="10" fontId="1" fillId="0" borderId="11" xfId="2183" applyNumberFormat="1" applyFont="1" applyFill="1" applyBorder="1" applyAlignment="1">
      <alignment vertical="top"/>
    </xf>
    <xf numFmtId="10" fontId="74" fillId="0" borderId="0" xfId="2183" applyNumberFormat="1" applyFont="1" applyFill="1" applyAlignment="1">
      <alignment horizontal="center"/>
    </xf>
    <xf numFmtId="173" fontId="217" fillId="0" borderId="0" xfId="2171" applyNumberFormat="1" applyFont="1" applyFill="1"/>
    <xf numFmtId="173" fontId="217" fillId="0" borderId="0" xfId="2185" applyNumberFormat="1" applyFont="1" applyFill="1"/>
    <xf numFmtId="172" fontId="217" fillId="0" borderId="0" xfId="2186" applyFont="1" applyFill="1"/>
    <xf numFmtId="172" fontId="220" fillId="0" borderId="0" xfId="2186" applyFont="1" applyFill="1"/>
    <xf numFmtId="0" fontId="215" fillId="0" borderId="0" xfId="2187" applyFont="1" applyFill="1" applyBorder="1">
      <alignment vertical="top"/>
    </xf>
    <xf numFmtId="0" fontId="215" fillId="0" borderId="0" xfId="2179" applyFont="1" applyFill="1" applyBorder="1" applyAlignment="1">
      <alignment vertical="top" wrapText="1"/>
    </xf>
    <xf numFmtId="170" fontId="220" fillId="0" borderId="0" xfId="2186" applyNumberFormat="1" applyFont="1" applyFill="1"/>
    <xf numFmtId="41" fontId="215" fillId="0" borderId="11" xfId="2179" applyNumberFormat="1" applyFont="1" applyFill="1" applyBorder="1">
      <alignment vertical="top"/>
    </xf>
    <xf numFmtId="0" fontId="1" fillId="0" borderId="0" xfId="2178" applyFont="1"/>
    <xf numFmtId="173" fontId="217" fillId="0" borderId="14" xfId="2171" applyNumberFormat="1" applyFont="1" applyFill="1" applyBorder="1"/>
    <xf numFmtId="175" fontId="217" fillId="0" borderId="0" xfId="2172" applyNumberFormat="1" applyFont="1" applyFill="1"/>
    <xf numFmtId="164" fontId="7" fillId="0" borderId="0" xfId="2183" applyNumberFormat="1" applyFont="1" applyFill="1"/>
    <xf numFmtId="0" fontId="23" fillId="0" borderId="0" xfId="2188" applyFont="1" applyBorder="1"/>
    <xf numFmtId="41" fontId="23" fillId="0" borderId="0" xfId="2170" applyNumberFormat="1" applyFont="1" applyFill="1" applyBorder="1" applyAlignment="1">
      <alignment horizontal="center"/>
    </xf>
    <xf numFmtId="173" fontId="23" fillId="0" borderId="0" xfId="2176" applyNumberFormat="1" applyFont="1" applyFill="1" applyBorder="1" applyAlignment="1">
      <alignment horizontal="center"/>
    </xf>
    <xf numFmtId="0" fontId="23" fillId="0" borderId="0" xfId="2188" applyFont="1"/>
    <xf numFmtId="37" fontId="15" fillId="0" borderId="0" xfId="1123" applyNumberFormat="1" applyFont="1" applyFill="1" applyProtection="1"/>
    <xf numFmtId="3" fontId="23" fillId="0" borderId="0" xfId="791" applyNumberFormat="1" applyFont="1" applyFill="1" applyBorder="1" applyAlignment="1" applyProtection="1">
      <alignment horizontal="center" wrapText="1"/>
    </xf>
    <xf numFmtId="37" fontId="7" fillId="0" borderId="0" xfId="1173" applyNumberFormat="1" applyFont="1" applyFill="1" applyProtection="1"/>
    <xf numFmtId="172" fontId="15" fillId="0" borderId="0" xfId="1124" applyFont="1" applyFill="1" applyAlignment="1" applyProtection="1"/>
    <xf numFmtId="0" fontId="15" fillId="0" borderId="0" xfId="760" applyFill="1" applyProtection="1"/>
    <xf numFmtId="0" fontId="15" fillId="0" borderId="0" xfId="760" applyFont="1" applyFill="1" applyAlignment="1" applyProtection="1"/>
    <xf numFmtId="173" fontId="190" fillId="0" borderId="0" xfId="198" applyNumberFormat="1" applyFont="1" applyFill="1" applyProtection="1"/>
    <xf numFmtId="0" fontId="190" fillId="0" borderId="0" xfId="0" applyFont="1" applyFill="1" applyProtection="1"/>
    <xf numFmtId="0" fontId="7" fillId="0" borderId="0" xfId="1178" applyFill="1" applyProtection="1"/>
    <xf numFmtId="0" fontId="12" fillId="0" borderId="51" xfId="1173" applyFont="1" applyFill="1" applyBorder="1" applyAlignment="1" applyProtection="1">
      <alignment horizontal="center" wrapText="1"/>
    </xf>
    <xf numFmtId="0" fontId="12" fillId="0" borderId="0" xfId="1173" applyFont="1" applyFill="1" applyBorder="1" applyAlignment="1" applyProtection="1">
      <alignment horizontal="center" wrapText="1"/>
    </xf>
    <xf numFmtId="43" fontId="18" fillId="0" borderId="0" xfId="862" applyNumberFormat="1" applyFont="1" applyFill="1" applyAlignment="1" applyProtection="1"/>
    <xf numFmtId="10" fontId="18" fillId="0" borderId="0" xfId="862" applyNumberFormat="1" applyFont="1" applyFill="1" applyAlignment="1" applyProtection="1"/>
    <xf numFmtId="3" fontId="23" fillId="0" borderId="0" xfId="1409" applyNumberFormat="1" applyFont="1" applyFill="1" applyBorder="1" applyAlignment="1" applyProtection="1">
      <alignment horizontal="center" wrapText="1"/>
    </xf>
    <xf numFmtId="0" fontId="12" fillId="0" borderId="0" xfId="1173" applyFont="1" applyFill="1" applyBorder="1" applyAlignment="1" applyProtection="1">
      <alignment horizontal="center"/>
    </xf>
    <xf numFmtId="3" fontId="9" fillId="0" borderId="0" xfId="0" applyNumberFormat="1" applyFont="1" applyFill="1" applyAlignment="1" applyProtection="1">
      <alignment horizontal="center"/>
    </xf>
    <xf numFmtId="0" fontId="12" fillId="0" borderId="51" xfId="1173" applyFont="1" applyFill="1" applyBorder="1" applyAlignment="1" applyProtection="1">
      <alignment horizontal="center"/>
    </xf>
    <xf numFmtId="0" fontId="10" fillId="0" borderId="0" xfId="1917" applyFont="1"/>
    <xf numFmtId="0" fontId="76" fillId="0" borderId="0" xfId="883" applyFont="1" applyFill="1" applyAlignment="1" applyProtection="1">
      <alignment horizontal="right"/>
    </xf>
    <xf numFmtId="173" fontId="87" fillId="27" borderId="48" xfId="0" applyNumberFormat="1" applyFont="1" applyFill="1" applyBorder="1" applyProtection="1"/>
    <xf numFmtId="0" fontId="12" fillId="0" borderId="0" xfId="1123" applyFont="1" applyFill="1" applyAlignment="1" applyProtection="1">
      <alignment horizontal="centerContinuous"/>
    </xf>
    <xf numFmtId="1" fontId="24" fillId="0" borderId="0" xfId="775" quotePrefix="1" applyNumberFormat="1" applyFont="1" applyFill="1" applyAlignment="1" applyProtection="1">
      <alignment horizontal="center"/>
    </xf>
    <xf numFmtId="0" fontId="10" fillId="70" borderId="0" xfId="198" applyNumberFormat="1" applyFont="1" applyFill="1" applyAlignment="1" applyProtection="1">
      <alignment horizontal="right"/>
    </xf>
    <xf numFmtId="0" fontId="0" fillId="0" borderId="0" xfId="0" applyFill="1"/>
    <xf numFmtId="0" fontId="12" fillId="0" borderId="0" xfId="1123" applyFont="1" applyFill="1" applyAlignment="1" applyProtection="1">
      <alignment horizontal="left"/>
    </xf>
    <xf numFmtId="0" fontId="24" fillId="0" borderId="14" xfId="2170" applyFont="1" applyFill="1" applyBorder="1" applyAlignment="1">
      <alignment horizontal="center" wrapText="1"/>
    </xf>
    <xf numFmtId="0" fontId="18" fillId="0" borderId="0" xfId="862" applyFont="1" applyFill="1" applyAlignment="1" applyProtection="1"/>
    <xf numFmtId="0" fontId="10" fillId="70" borderId="0" xfId="198" applyNumberFormat="1" applyFont="1" applyFill="1" applyAlignment="1" applyProtection="1"/>
    <xf numFmtId="0" fontId="72" fillId="0" borderId="0" xfId="1173" applyFont="1" applyFill="1" applyAlignment="1" applyProtection="1">
      <alignment horizontal="centerContinuous"/>
    </xf>
    <xf numFmtId="0" fontId="18" fillId="0" borderId="0" xfId="1173" applyFont="1" applyFill="1" applyAlignment="1" applyProtection="1">
      <alignment horizontal="left"/>
    </xf>
    <xf numFmtId="0" fontId="72" fillId="0" borderId="0" xfId="1173" applyFont="1" applyFill="1" applyAlignment="1" applyProtection="1">
      <alignment horizontal="center"/>
    </xf>
    <xf numFmtId="0" fontId="12" fillId="0" borderId="40" xfId="0" applyFont="1" applyBorder="1" applyAlignment="1" applyProtection="1">
      <alignment horizontal="center"/>
    </xf>
    <xf numFmtId="0" fontId="23" fillId="66" borderId="0" xfId="0" applyFont="1" applyFill="1" applyAlignment="1">
      <alignment vertical="top" wrapText="1"/>
    </xf>
    <xf numFmtId="0" fontId="10" fillId="0" borderId="0" xfId="1528" applyFont="1" applyFill="1" applyAlignment="1" applyProtection="1">
      <alignment horizontal="left" vertical="top" wrapText="1"/>
    </xf>
    <xf numFmtId="0" fontId="10" fillId="0" borderId="0" xfId="760" applyFont="1" applyFill="1" applyAlignment="1" applyProtection="1">
      <alignment horizontal="left" vertical="top" wrapText="1"/>
    </xf>
    <xf numFmtId="172" fontId="67" fillId="0" borderId="0" xfId="881" applyFont="1" applyFill="1" applyAlignment="1" applyProtection="1">
      <alignment horizontal="left" wrapText="1"/>
    </xf>
    <xf numFmtId="0" fontId="13" fillId="0" borderId="0" xfId="881" applyNumberFormat="1" applyFont="1" applyFill="1" applyAlignment="1" applyProtection="1">
      <alignment horizontal="center"/>
    </xf>
    <xf numFmtId="0" fontId="16" fillId="0" borderId="0" xfId="0" applyFont="1" applyFill="1" applyAlignment="1" applyProtection="1"/>
    <xf numFmtId="49" fontId="10" fillId="0" borderId="0" xfId="881" applyNumberFormat="1" applyFont="1" applyFill="1" applyAlignment="1" applyProtection="1">
      <alignment horizontal="center"/>
    </xf>
    <xf numFmtId="0" fontId="7" fillId="0" borderId="0" xfId="0" applyFont="1" applyFill="1" applyAlignment="1" applyProtection="1">
      <alignment horizontal="center"/>
    </xf>
    <xf numFmtId="0" fontId="10" fillId="0" borderId="0" xfId="881"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0" fillId="0" borderId="0" xfId="881" applyNumberFormat="1" applyFont="1" applyFill="1" applyAlignment="1" applyProtection="1">
      <alignment horizontal="left" vertical="center" wrapText="1"/>
    </xf>
    <xf numFmtId="0" fontId="10" fillId="0" borderId="0" xfId="881" applyNumberFormat="1" applyFont="1" applyFill="1" applyAlignment="1" applyProtection="1">
      <alignment horizontal="left" wrapText="1"/>
    </xf>
    <xf numFmtId="0" fontId="10" fillId="0" borderId="0" xfId="0" applyNumberFormat="1" applyFont="1" applyFill="1" applyAlignment="1" applyProtection="1">
      <alignment wrapText="1"/>
    </xf>
    <xf numFmtId="0" fontId="10" fillId="0" borderId="0" xfId="0" applyFont="1" applyFill="1" applyAlignment="1" applyProtection="1">
      <alignment wrapText="1"/>
    </xf>
    <xf numFmtId="172" fontId="10" fillId="0" borderId="0" xfId="881" applyFont="1" applyFill="1" applyAlignment="1" applyProtection="1">
      <alignment wrapText="1"/>
    </xf>
    <xf numFmtId="37" fontId="12" fillId="0" borderId="0" xfId="1123" applyNumberFormat="1" applyFont="1" applyBorder="1" applyAlignment="1" applyProtection="1">
      <alignment horizontal="center"/>
    </xf>
    <xf numFmtId="0" fontId="12" fillId="0" borderId="2" xfId="1123" applyFont="1" applyBorder="1" applyAlignment="1" applyProtection="1">
      <alignment horizontal="center"/>
    </xf>
    <xf numFmtId="0" fontId="10" fillId="0" borderId="0" xfId="791" applyFont="1" applyFill="1" applyBorder="1" applyAlignment="1" applyProtection="1">
      <alignment horizontal="center"/>
    </xf>
    <xf numFmtId="0" fontId="11" fillId="0" borderId="0" xfId="791" applyFont="1" applyFill="1" applyBorder="1" applyAlignment="1" applyProtection="1">
      <alignment horizontal="center"/>
    </xf>
    <xf numFmtId="3" fontId="11" fillId="0" borderId="0" xfId="791" applyNumberFormat="1" applyFont="1" applyFill="1" applyBorder="1" applyAlignment="1" applyProtection="1">
      <alignment horizontal="center"/>
    </xf>
    <xf numFmtId="0" fontId="12" fillId="0" borderId="64" xfId="1123" applyFont="1" applyBorder="1" applyAlignment="1" applyProtection="1">
      <alignment horizontal="center" wrapText="1"/>
    </xf>
    <xf numFmtId="0" fontId="12" fillId="0" borderId="14" xfId="1123" applyFont="1" applyBorder="1" applyAlignment="1" applyProtection="1">
      <alignment horizontal="center" wrapText="1"/>
    </xf>
    <xf numFmtId="0" fontId="12" fillId="0" borderId="65" xfId="1123" applyFont="1" applyBorder="1" applyAlignment="1" applyProtection="1">
      <alignment horizontal="center" wrapText="1"/>
    </xf>
    <xf numFmtId="0" fontId="10" fillId="0" borderId="0" xfId="0" applyFont="1" applyFill="1" applyAlignment="1" applyProtection="1">
      <alignment horizontal="center"/>
    </xf>
    <xf numFmtId="3" fontId="11" fillId="0" borderId="0" xfId="198" applyNumberFormat="1" applyFont="1" applyFill="1" applyAlignment="1" applyProtection="1">
      <alignment horizontal="center"/>
    </xf>
    <xf numFmtId="0" fontId="57" fillId="0" borderId="0" xfId="0" applyFont="1" applyAlignment="1" applyProtection="1">
      <alignment horizontal="left" vertical="top" wrapText="1"/>
    </xf>
    <xf numFmtId="0" fontId="16" fillId="0" borderId="0" xfId="878" applyFont="1" applyFill="1" applyAlignment="1" applyProtection="1">
      <alignment horizontal="center" wrapText="1"/>
    </xf>
    <xf numFmtId="0" fontId="15" fillId="0" borderId="0" xfId="0" applyFont="1" applyFill="1" applyAlignment="1" applyProtection="1">
      <alignment wrapText="1"/>
    </xf>
    <xf numFmtId="0" fontId="21" fillId="0" borderId="0" xfId="0" applyFont="1" applyFill="1" applyAlignment="1" applyProtection="1">
      <alignment horizontal="center"/>
    </xf>
    <xf numFmtId="0" fontId="21" fillId="0" borderId="0" xfId="791" applyFont="1" applyFill="1" applyBorder="1" applyAlignment="1" applyProtection="1">
      <alignment horizontal="center"/>
    </xf>
    <xf numFmtId="3" fontId="9" fillId="0" borderId="0" xfId="0" applyNumberFormat="1" applyFont="1" applyFill="1" applyAlignment="1" applyProtection="1">
      <alignment horizontal="center"/>
    </xf>
    <xf numFmtId="0" fontId="21" fillId="0" borderId="0" xfId="0" applyFont="1" applyFill="1" applyAlignment="1" applyProtection="1">
      <alignment horizontal="center" wrapText="1"/>
    </xf>
    <xf numFmtId="0" fontId="15" fillId="0" borderId="0" xfId="0" applyFont="1" applyFill="1" applyAlignment="1" applyProtection="1">
      <alignment horizontal="left" wrapText="1"/>
    </xf>
    <xf numFmtId="0" fontId="16" fillId="0" borderId="0" xfId="0" applyFont="1" applyFill="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xf>
    <xf numFmtId="3" fontId="7" fillId="0" borderId="0" xfId="798" applyFont="1" applyFill="1" applyBorder="1" applyAlignment="1" applyProtection="1">
      <alignment horizontal="left" vertical="top" wrapText="1"/>
    </xf>
    <xf numFmtId="3" fontId="15" fillId="0" borderId="11" xfId="798" applyFont="1" applyFill="1" applyBorder="1" applyAlignment="1" applyProtection="1">
      <alignment horizontal="center" wrapText="1"/>
    </xf>
    <xf numFmtId="3" fontId="21" fillId="0" borderId="0" xfId="791" applyNumberFormat="1" applyFont="1" applyFill="1" applyBorder="1" applyAlignment="1" applyProtection="1">
      <alignment horizontal="center"/>
    </xf>
    <xf numFmtId="3" fontId="83" fillId="0" borderId="0" xfId="798" applyFont="1" applyFill="1" applyBorder="1" applyAlignment="1" applyProtection="1">
      <alignment horizontal="left" wrapText="1"/>
    </xf>
    <xf numFmtId="3" fontId="15" fillId="0" borderId="0" xfId="798" applyFont="1" applyFill="1" applyBorder="1" applyAlignment="1" applyProtection="1">
      <alignment horizontal="left" wrapText="1"/>
    </xf>
    <xf numFmtId="0" fontId="190" fillId="27" borderId="64" xfId="198" applyNumberFormat="1" applyFont="1" applyFill="1" applyBorder="1" applyAlignment="1" applyProtection="1">
      <alignment horizontal="center"/>
    </xf>
    <xf numFmtId="0" fontId="190" fillId="27" borderId="65" xfId="198" applyNumberFormat="1" applyFont="1" applyFill="1" applyBorder="1" applyAlignment="1" applyProtection="1">
      <alignment horizontal="center"/>
    </xf>
    <xf numFmtId="0" fontId="193" fillId="0" borderId="64" xfId="198" applyNumberFormat="1" applyFont="1" applyFill="1" applyBorder="1" applyAlignment="1" applyProtection="1">
      <alignment horizontal="center"/>
    </xf>
    <xf numFmtId="0" fontId="193" fillId="0" borderId="65" xfId="198" applyNumberFormat="1" applyFont="1" applyFill="1" applyBorder="1" applyAlignment="1" applyProtection="1">
      <alignment horizontal="center"/>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49" fontId="190" fillId="0" borderId="0" xfId="198" applyNumberFormat="1" applyFont="1" applyAlignment="1" applyProtection="1">
      <alignment horizontal="left" wrapText="1"/>
    </xf>
    <xf numFmtId="0" fontId="23" fillId="0" borderId="11" xfId="2170" applyFont="1" applyBorder="1" applyAlignment="1">
      <alignment horizontal="center"/>
    </xf>
    <xf numFmtId="172" fontId="23" fillId="0" borderId="11" xfId="2174" applyFont="1" applyBorder="1" applyAlignment="1">
      <alignment horizontal="center"/>
    </xf>
    <xf numFmtId="0" fontId="23" fillId="0" borderId="11" xfId="2170" applyFont="1" applyBorder="1" applyAlignment="1">
      <alignment horizontal="center" wrapText="1"/>
    </xf>
    <xf numFmtId="0" fontId="24" fillId="0" borderId="0" xfId="2170" applyFont="1" applyBorder="1" applyAlignment="1">
      <alignment horizontal="center" wrapText="1"/>
    </xf>
    <xf numFmtId="0" fontId="23" fillId="0" borderId="0" xfId="2170" applyFont="1" applyFill="1" applyAlignment="1">
      <alignment horizontal="left" vertical="top" wrapText="1"/>
    </xf>
    <xf numFmtId="0" fontId="23" fillId="0" borderId="0" xfId="2170" applyFont="1" applyAlignment="1">
      <alignment horizontal="left" vertical="top" wrapText="1"/>
    </xf>
    <xf numFmtId="0" fontId="190" fillId="0" borderId="0" xfId="2170" applyFont="1" applyAlignment="1">
      <alignment horizontal="left" vertical="center" wrapText="1"/>
    </xf>
    <xf numFmtId="0" fontId="23" fillId="0" borderId="0" xfId="2170" applyFont="1" applyAlignment="1">
      <alignment horizontal="center" wrapText="1"/>
    </xf>
    <xf numFmtId="176" fontId="23" fillId="0" borderId="29" xfId="2176" applyNumberFormat="1" applyFont="1" applyBorder="1" applyAlignment="1">
      <alignment horizontal="center"/>
    </xf>
    <xf numFmtId="1" fontId="23" fillId="0" borderId="0" xfId="2176" applyNumberFormat="1" applyFont="1" applyBorder="1" applyAlignment="1">
      <alignment horizontal="center" wrapText="1"/>
    </xf>
    <xf numFmtId="0" fontId="190" fillId="0" borderId="0" xfId="2170" applyFont="1" applyAlignment="1">
      <alignment horizontal="left" wrapText="1"/>
    </xf>
    <xf numFmtId="41" fontId="12" fillId="0" borderId="11" xfId="1176" applyNumberFormat="1" applyFont="1" applyFill="1" applyBorder="1" applyAlignment="1" applyProtection="1">
      <alignment horizontal="center"/>
      <protection locked="0"/>
    </xf>
    <xf numFmtId="0" fontId="7" fillId="0" borderId="0" xfId="2170" applyFont="1" applyAlignment="1">
      <alignment horizontal="left" vertical="top" wrapText="1"/>
    </xf>
    <xf numFmtId="0" fontId="7" fillId="0" borderId="0" xfId="2178" applyFont="1" applyAlignment="1">
      <alignment horizontal="left" vertical="top" wrapText="1"/>
    </xf>
    <xf numFmtId="0" fontId="190" fillId="0" borderId="0" xfId="2178" applyFont="1" applyAlignment="1">
      <alignment horizontal="left" wrapText="1"/>
    </xf>
    <xf numFmtId="0" fontId="7" fillId="0" borderId="0" xfId="878" applyFont="1" applyFill="1" applyAlignment="1" applyProtection="1">
      <alignment horizontal="left" vertical="top" wrapText="1"/>
    </xf>
    <xf numFmtId="0" fontId="12" fillId="0" borderId="11" xfId="791" applyFont="1" applyFill="1" applyBorder="1" applyAlignment="1" applyProtection="1">
      <alignment horizontal="center" wrapText="1"/>
    </xf>
    <xf numFmtId="0" fontId="68" fillId="0" borderId="0" xfId="878" applyFont="1" applyFill="1" applyAlignment="1" applyProtection="1">
      <alignment horizontal="center"/>
    </xf>
    <xf numFmtId="0" fontId="68" fillId="0" borderId="0" xfId="791" applyNumberFormat="1" applyFont="1" applyFill="1" applyBorder="1" applyAlignment="1" applyProtection="1">
      <alignment horizontal="center"/>
    </xf>
    <xf numFmtId="0" fontId="20" fillId="0" borderId="0" xfId="878" applyFont="1" applyFill="1" applyBorder="1" applyAlignment="1">
      <alignment horizontal="center" wrapText="1"/>
    </xf>
    <xf numFmtId="0" fontId="16" fillId="0" borderId="0" xfId="0" applyFont="1" applyFill="1" applyBorder="1" applyAlignment="1">
      <alignment horizontal="center" wrapText="1"/>
    </xf>
    <xf numFmtId="3" fontId="11" fillId="0" borderId="0" xfId="0" applyNumberFormat="1" applyFont="1" applyFill="1" applyAlignment="1" applyProtection="1">
      <alignment horizontal="center"/>
    </xf>
    <xf numFmtId="172" fontId="21" fillId="0" borderId="43" xfId="881" applyFont="1" applyFill="1" applyBorder="1" applyAlignment="1" applyProtection="1">
      <alignment horizontal="left" wrapText="1"/>
    </xf>
    <xf numFmtId="172" fontId="21" fillId="0" borderId="17" xfId="881" applyFont="1" applyFill="1" applyBorder="1" applyAlignment="1" applyProtection="1">
      <alignment horizontal="left" wrapText="1"/>
    </xf>
    <xf numFmtId="172" fontId="21" fillId="0" borderId="21" xfId="881" applyFont="1" applyFill="1" applyBorder="1" applyAlignment="1" applyProtection="1">
      <alignment horizontal="left" wrapText="1"/>
    </xf>
    <xf numFmtId="172" fontId="21" fillId="0" borderId="19" xfId="881" applyFont="1" applyFill="1" applyBorder="1" applyAlignment="1" applyProtection="1">
      <alignment horizontal="left" wrapText="1"/>
    </xf>
    <xf numFmtId="172" fontId="21" fillId="0" borderId="0" xfId="881" applyFont="1" applyFill="1" applyBorder="1" applyAlignment="1" applyProtection="1">
      <alignment horizontal="left" wrapText="1"/>
    </xf>
    <xf numFmtId="172" fontId="21" fillId="0" borderId="20" xfId="881" applyFont="1" applyFill="1" applyBorder="1" applyAlignment="1" applyProtection="1">
      <alignment horizontal="left" wrapText="1"/>
    </xf>
    <xf numFmtId="0" fontId="9" fillId="0" borderId="0" xfId="0" applyFont="1" applyFill="1" applyAlignment="1" applyProtection="1">
      <alignment wrapText="1"/>
    </xf>
    <xf numFmtId="172" fontId="10" fillId="0" borderId="43" xfId="881" applyFont="1" applyFill="1" applyBorder="1" applyAlignment="1" applyProtection="1">
      <alignment horizontal="left" wrapText="1"/>
    </xf>
    <xf numFmtId="172" fontId="10" fillId="0" borderId="17" xfId="881" applyFont="1" applyFill="1" applyBorder="1" applyAlignment="1" applyProtection="1">
      <alignment horizontal="left" wrapText="1"/>
    </xf>
    <xf numFmtId="172" fontId="10" fillId="0" borderId="21" xfId="881" applyFont="1" applyFill="1" applyBorder="1" applyAlignment="1" applyProtection="1">
      <alignment horizontal="left" wrapText="1"/>
    </xf>
    <xf numFmtId="172" fontId="10" fillId="0" borderId="19" xfId="881" applyFont="1" applyFill="1" applyBorder="1" applyAlignment="1" applyProtection="1">
      <alignment horizontal="left" wrapText="1"/>
    </xf>
    <xf numFmtId="172" fontId="10" fillId="0" borderId="0" xfId="881" applyFont="1" applyFill="1" applyBorder="1" applyAlignment="1" applyProtection="1">
      <alignment horizontal="left" wrapText="1"/>
    </xf>
    <xf numFmtId="172" fontId="10" fillId="0" borderId="20" xfId="881" applyFont="1" applyFill="1" applyBorder="1" applyAlignment="1" applyProtection="1">
      <alignment horizontal="left" wrapText="1"/>
    </xf>
    <xf numFmtId="3" fontId="10" fillId="0" borderId="0" xfId="791" applyNumberFormat="1" applyFont="1" applyFill="1" applyBorder="1" applyAlignment="1" applyProtection="1">
      <alignment horizontal="center"/>
    </xf>
    <xf numFmtId="0" fontId="112" fillId="0" borderId="0" xfId="883" applyFont="1" applyFill="1" applyAlignment="1" applyProtection="1">
      <alignment horizontal="left" vertical="top" wrapText="1"/>
    </xf>
    <xf numFmtId="0" fontId="20" fillId="0" borderId="11" xfId="0" applyFont="1" applyFill="1" applyBorder="1" applyAlignment="1" applyProtection="1">
      <alignment horizontal="center"/>
    </xf>
    <xf numFmtId="0" fontId="12" fillId="0" borderId="0" xfId="0" applyFont="1" applyFill="1" applyAlignment="1" applyProtection="1">
      <alignment horizontal="center" wrapText="1"/>
    </xf>
    <xf numFmtId="3" fontId="57" fillId="0" borderId="0" xfId="760" applyNumberFormat="1" applyFont="1" applyFill="1" applyAlignment="1" applyProtection="1">
      <alignment horizontal="left" wrapText="1"/>
    </xf>
    <xf numFmtId="0" fontId="121" fillId="0" borderId="0" xfId="878" applyFont="1" applyFill="1" applyAlignment="1" applyProtection="1">
      <alignment horizontal="left" wrapText="1"/>
    </xf>
    <xf numFmtId="0" fontId="10" fillId="0" borderId="0" xfId="791" applyFont="1" applyFill="1" applyBorder="1" applyAlignment="1" applyProtection="1">
      <alignment horizontal="center" vertical="center"/>
    </xf>
    <xf numFmtId="0" fontId="11" fillId="0" borderId="0" xfId="791" applyFont="1" applyFill="1" applyBorder="1" applyAlignment="1" applyProtection="1">
      <alignment horizontal="center" vertical="center"/>
    </xf>
    <xf numFmtId="0" fontId="17"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10" fillId="0" borderId="0" xfId="0" applyNumberFormat="1" applyFont="1" applyFill="1" applyAlignment="1" applyProtection="1">
      <alignment horizontal="center"/>
    </xf>
    <xf numFmtId="0" fontId="57" fillId="0" borderId="0" xfId="1172" applyFont="1" applyAlignment="1" applyProtection="1">
      <alignment horizontal="left" vertical="top" wrapText="1"/>
    </xf>
    <xf numFmtId="0" fontId="7" fillId="0" borderId="0" xfId="1177" applyFont="1" applyFill="1" applyAlignment="1" applyProtection="1">
      <alignment horizontal="left" wrapText="1"/>
    </xf>
    <xf numFmtId="0" fontId="7" fillId="0" borderId="0" xfId="1178" applyFont="1" applyFill="1" applyAlignment="1" applyProtection="1">
      <alignment wrapText="1"/>
    </xf>
    <xf numFmtId="0" fontId="164" fillId="0" borderId="0" xfId="1177" applyFont="1" applyFill="1" applyAlignment="1" applyProtection="1">
      <alignment horizontal="left" wrapText="1"/>
    </xf>
    <xf numFmtId="41" fontId="12" fillId="0" borderId="0" xfId="1177" applyNumberFormat="1" applyFont="1" applyFill="1" applyBorder="1" applyAlignment="1" applyProtection="1">
      <alignment horizontal="center" wrapText="1"/>
    </xf>
    <xf numFmtId="0" fontId="12" fillId="0" borderId="64" xfId="1173" applyFont="1" applyBorder="1" applyAlignment="1" applyProtection="1">
      <alignment horizontal="center" wrapText="1"/>
    </xf>
    <xf numFmtId="0" fontId="12" fillId="0" borderId="14" xfId="1173" applyFont="1" applyBorder="1" applyAlignment="1" applyProtection="1">
      <alignment horizontal="center" wrapText="1"/>
    </xf>
    <xf numFmtId="0" fontId="12" fillId="0" borderId="65" xfId="1173" applyFont="1" applyBorder="1" applyAlignment="1" applyProtection="1">
      <alignment horizontal="center" wrapText="1"/>
    </xf>
    <xf numFmtId="0" fontId="12" fillId="0" borderId="64" xfId="1172" applyFont="1" applyBorder="1" applyAlignment="1" applyProtection="1">
      <alignment horizontal="center"/>
    </xf>
    <xf numFmtId="0" fontId="12" fillId="0" borderId="14" xfId="1172" applyFont="1" applyBorder="1" applyAlignment="1" applyProtection="1">
      <alignment horizontal="center"/>
    </xf>
    <xf numFmtId="0" fontId="12" fillId="0" borderId="65" xfId="1172" applyFont="1" applyBorder="1" applyAlignment="1" applyProtection="1">
      <alignment horizontal="center"/>
    </xf>
    <xf numFmtId="0" fontId="196" fillId="0" borderId="0" xfId="0" applyFont="1" applyFill="1" applyBorder="1" applyAlignment="1" applyProtection="1">
      <alignment horizontal="left" wrapText="1"/>
    </xf>
    <xf numFmtId="0" fontId="67" fillId="0" borderId="0" xfId="0" applyFont="1" applyAlignment="1" applyProtection="1">
      <alignment horizontal="center"/>
    </xf>
    <xf numFmtId="0" fontId="11"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8" fillId="0" borderId="0" xfId="862" applyFont="1" applyFill="1" applyAlignment="1" applyProtection="1">
      <alignment horizontal="left" wrapText="1"/>
    </xf>
    <xf numFmtId="0" fontId="67" fillId="0" borderId="0" xfId="0" applyFont="1" applyAlignment="1" applyProtection="1">
      <alignment horizontal="center" wrapText="1"/>
    </xf>
    <xf numFmtId="0" fontId="11" fillId="0" borderId="0" xfId="0" applyFont="1" applyFill="1" applyAlignment="1" applyProtection="1">
      <alignment horizontal="center" wrapText="1"/>
    </xf>
    <xf numFmtId="3" fontId="11" fillId="0" borderId="0" xfId="0" applyNumberFormat="1" applyFont="1" applyAlignment="1" applyProtection="1">
      <alignment horizontal="center" wrapText="1"/>
    </xf>
    <xf numFmtId="0" fontId="18" fillId="0" borderId="0" xfId="862" quotePrefix="1" applyFont="1" applyBorder="1" applyAlignment="1" applyProtection="1">
      <alignment horizontal="left" wrapText="1"/>
    </xf>
    <xf numFmtId="0" fontId="57" fillId="0" borderId="0" xfId="760" applyFont="1" applyFill="1" applyAlignment="1" applyProtection="1">
      <alignment horizontal="left" wrapText="1"/>
    </xf>
    <xf numFmtId="0" fontId="20" fillId="0" borderId="0" xfId="791" quotePrefix="1" applyFont="1" applyFill="1" applyBorder="1" applyAlignment="1" applyProtection="1">
      <alignment horizontal="center" wrapText="1"/>
    </xf>
    <xf numFmtId="0" fontId="16" fillId="0" borderId="0" xfId="0" applyFont="1" applyFill="1" applyAlignment="1" applyProtection="1">
      <alignment horizontal="center" wrapText="1"/>
    </xf>
    <xf numFmtId="3" fontId="57" fillId="0" borderId="0" xfId="760" applyNumberFormat="1" applyFont="1" applyFill="1" applyAlignment="1" applyProtection="1">
      <alignment horizontal="left" vertical="top" wrapText="1"/>
    </xf>
    <xf numFmtId="0" fontId="10" fillId="0" borderId="0" xfId="799" applyFont="1" applyAlignment="1" applyProtection="1">
      <alignment horizontal="left" wrapText="1"/>
    </xf>
    <xf numFmtId="0" fontId="11" fillId="0" borderId="0" xfId="799" applyFont="1" applyAlignment="1" applyProtection="1">
      <alignment horizontal="center"/>
    </xf>
    <xf numFmtId="0" fontId="10" fillId="0" borderId="0" xfId="799" applyFont="1" applyFill="1" applyAlignment="1" applyProtection="1">
      <alignment horizontal="center"/>
    </xf>
    <xf numFmtId="0" fontId="10" fillId="0" borderId="0" xfId="1172" applyFont="1" applyFill="1" applyBorder="1" applyAlignment="1" applyProtection="1">
      <alignment horizontal="center"/>
    </xf>
    <xf numFmtId="0" fontId="11" fillId="0" borderId="0" xfId="1172" applyFont="1" applyFill="1" applyBorder="1" applyAlignment="1" applyProtection="1">
      <alignment horizontal="center"/>
    </xf>
    <xf numFmtId="3" fontId="11" fillId="0" borderId="0" xfId="799" applyNumberFormat="1" applyFont="1" applyFill="1" applyAlignment="1" applyProtection="1">
      <alignment horizontal="center"/>
    </xf>
    <xf numFmtId="0" fontId="11" fillId="0" borderId="0" xfId="799" applyFont="1" applyFill="1" applyAlignment="1" applyProtection="1">
      <alignment horizontal="center"/>
    </xf>
    <xf numFmtId="37" fontId="12" fillId="0" borderId="0" xfId="1173" applyNumberFormat="1" applyFont="1" applyBorder="1" applyAlignment="1" applyProtection="1">
      <alignment horizontal="center"/>
    </xf>
    <xf numFmtId="0" fontId="12" fillId="0" borderId="2" xfId="1173" applyFont="1" applyBorder="1" applyAlignment="1" applyProtection="1">
      <alignment horizontal="center"/>
    </xf>
    <xf numFmtId="0" fontId="10" fillId="0" borderId="0" xfId="1409" applyFont="1" applyFill="1" applyBorder="1" applyAlignment="1" applyProtection="1">
      <alignment horizontal="center"/>
    </xf>
    <xf numFmtId="0" fontId="11" fillId="0" borderId="0" xfId="1409" applyFont="1" applyFill="1" applyBorder="1" applyAlignment="1" applyProtection="1">
      <alignment horizontal="center"/>
    </xf>
    <xf numFmtId="3" fontId="11" fillId="0" borderId="0" xfId="1409" applyNumberFormat="1" applyFont="1" applyFill="1" applyBorder="1" applyAlignment="1" applyProtection="1">
      <alignment horizontal="center"/>
    </xf>
    <xf numFmtId="0" fontId="21" fillId="0" borderId="0" xfId="1409" applyFont="1" applyFill="1" applyBorder="1" applyAlignment="1" applyProtection="1">
      <alignment horizontal="center"/>
    </xf>
    <xf numFmtId="0" fontId="7" fillId="0" borderId="0" xfId="0" applyFont="1" applyFill="1" applyAlignment="1" applyProtection="1">
      <alignment wrapText="1"/>
    </xf>
    <xf numFmtId="0" fontId="7" fillId="0" borderId="0" xfId="0" applyFont="1" applyFill="1" applyAlignment="1" applyProtection="1">
      <alignment horizontal="left" wrapText="1"/>
    </xf>
    <xf numFmtId="3" fontId="7" fillId="0" borderId="11" xfId="1532" applyFont="1" applyFill="1" applyBorder="1" applyAlignment="1" applyProtection="1">
      <alignment horizontal="center" wrapText="1"/>
    </xf>
    <xf numFmtId="3" fontId="7" fillId="0" borderId="0" xfId="1532" applyFont="1" applyFill="1" applyBorder="1" applyAlignment="1" applyProtection="1">
      <alignment horizontal="left" vertical="top" wrapText="1"/>
    </xf>
    <xf numFmtId="3" fontId="21" fillId="0" borderId="0" xfId="1409" applyNumberFormat="1" applyFont="1" applyFill="1" applyBorder="1" applyAlignment="1" applyProtection="1">
      <alignment horizontal="center"/>
    </xf>
    <xf numFmtId="3" fontId="83" fillId="0" borderId="0" xfId="1532" applyFont="1" applyFill="1" applyBorder="1" applyAlignment="1" applyProtection="1">
      <alignment horizontal="left" wrapText="1"/>
    </xf>
    <xf numFmtId="3" fontId="7" fillId="0" borderId="0" xfId="1532" applyFont="1" applyFill="1" applyBorder="1" applyAlignment="1" applyProtection="1">
      <alignment horizontal="left" wrapText="1"/>
    </xf>
    <xf numFmtId="41" fontId="12" fillId="0" borderId="0" xfId="1176" applyNumberFormat="1" applyFont="1" applyFill="1" applyBorder="1" applyAlignment="1" applyProtection="1">
      <alignment horizontal="center"/>
      <protection locked="0"/>
    </xf>
    <xf numFmtId="0" fontId="12" fillId="0" borderId="11" xfId="1409" applyFont="1" applyFill="1" applyBorder="1" applyAlignment="1" applyProtection="1">
      <alignment horizontal="center" wrapText="1"/>
    </xf>
    <xf numFmtId="0" fontId="68" fillId="0" borderId="0" xfId="1409" applyNumberFormat="1" applyFont="1" applyFill="1" applyBorder="1" applyAlignment="1" applyProtection="1">
      <alignment horizontal="center"/>
    </xf>
    <xf numFmtId="3" fontId="10" fillId="0" borderId="0" xfId="1409" applyNumberFormat="1" applyFont="1" applyFill="1" applyBorder="1" applyAlignment="1" applyProtection="1">
      <alignment horizontal="center"/>
    </xf>
    <xf numFmtId="3" fontId="57" fillId="0" borderId="0" xfId="1528" applyNumberFormat="1" applyFont="1" applyFill="1" applyAlignment="1" applyProtection="1">
      <alignment horizontal="left" wrapText="1"/>
    </xf>
    <xf numFmtId="0" fontId="10" fillId="0" borderId="0" xfId="1409" applyFont="1" applyFill="1" applyBorder="1" applyAlignment="1" applyProtection="1">
      <alignment horizontal="center" vertical="center"/>
    </xf>
    <xf numFmtId="0" fontId="11" fillId="0" borderId="0" xfId="1409" applyFont="1" applyFill="1" applyBorder="1" applyAlignment="1" applyProtection="1">
      <alignment horizontal="center" vertical="center"/>
    </xf>
    <xf numFmtId="0" fontId="18" fillId="0" borderId="0" xfId="1535" applyFont="1" applyFill="1" applyAlignment="1" applyProtection="1">
      <alignment horizontal="left" wrapText="1"/>
    </xf>
    <xf numFmtId="0" fontId="18" fillId="0" borderId="0" xfId="1535" quotePrefix="1" applyFont="1" applyBorder="1" applyAlignment="1" applyProtection="1">
      <alignment horizontal="left" wrapText="1"/>
    </xf>
    <xf numFmtId="0" fontId="57" fillId="0" borderId="0" xfId="1528" applyFont="1" applyFill="1" applyAlignment="1" applyProtection="1">
      <alignment horizontal="left" wrapText="1"/>
    </xf>
    <xf numFmtId="0" fontId="20" fillId="0" borderId="0" xfId="1409" quotePrefix="1" applyFont="1" applyFill="1" applyBorder="1" applyAlignment="1" applyProtection="1">
      <alignment horizontal="center" wrapText="1"/>
    </xf>
    <xf numFmtId="3" fontId="57" fillId="0" borderId="0" xfId="1528" applyNumberFormat="1" applyFont="1" applyFill="1" applyAlignment="1" applyProtection="1">
      <alignment horizontal="left" vertical="top" wrapText="1"/>
    </xf>
  </cellXfs>
  <cellStyles count="2189">
    <cellStyle name="_sHdrCenterAlign 2" xfId="2184" xr:uid="{00000000-0005-0000-0000-000000000000}"/>
    <cellStyle name="20% - Accent1" xfId="1" builtinId="30" customBuiltin="1"/>
    <cellStyle name="20% - Accent1 2" xfId="2" xr:uid="{00000000-0005-0000-0000-000002000000}"/>
    <cellStyle name="20% - Accent1 2 2" xfId="3" xr:uid="{00000000-0005-0000-0000-000003000000}"/>
    <cellStyle name="20% - Accent1 2 2 2" xfId="1217" xr:uid="{00000000-0005-0000-0000-000004000000}"/>
    <cellStyle name="20% - Accent1 2 2 3" xfId="1216" xr:uid="{00000000-0005-0000-0000-000005000000}"/>
    <cellStyle name="20% - Accent1 2 3" xfId="4" xr:uid="{00000000-0005-0000-0000-000006000000}"/>
    <cellStyle name="20% - Accent1 2 3 2" xfId="1218" xr:uid="{00000000-0005-0000-0000-000007000000}"/>
    <cellStyle name="20% - Accent1 2 3 3" xfId="1538" xr:uid="{00000000-0005-0000-0000-000008000000}"/>
    <cellStyle name="20% - Accent1 2 4" xfId="5" xr:uid="{00000000-0005-0000-0000-000009000000}"/>
    <cellStyle name="20% - Accent1 2 5" xfId="6" xr:uid="{00000000-0005-0000-0000-00000A000000}"/>
    <cellStyle name="20% - Accent1 2 6" xfId="1215" xr:uid="{00000000-0005-0000-0000-00000B000000}"/>
    <cellStyle name="20% - Accent1 3" xfId="1219" xr:uid="{00000000-0005-0000-0000-00000C000000}"/>
    <cellStyle name="20% - Accent1 3 2" xfId="1220" xr:uid="{00000000-0005-0000-0000-00000D000000}"/>
    <cellStyle name="20% - Accent1 3 2 2" xfId="1221" xr:uid="{00000000-0005-0000-0000-00000E000000}"/>
    <cellStyle name="20% - Accent1 3 3" xfId="1222" xr:uid="{00000000-0005-0000-0000-00000F000000}"/>
    <cellStyle name="20% - Accent1 4" xfId="1223" xr:uid="{00000000-0005-0000-0000-000010000000}"/>
    <cellStyle name="20% - Accent1 5" xfId="1452" xr:uid="{00000000-0005-0000-0000-000011000000}"/>
    <cellStyle name="20% - Accent1 6" xfId="1187" xr:uid="{00000000-0005-0000-0000-000012000000}"/>
    <cellStyle name="20% - Accent1 6 2" xfId="2139" xr:uid="{00000000-0005-0000-0000-000013000000}"/>
    <cellStyle name="20% - Accent2" xfId="7" builtinId="34" customBuiltin="1"/>
    <cellStyle name="20% - Accent2 2" xfId="8" xr:uid="{00000000-0005-0000-0000-000015000000}"/>
    <cellStyle name="20% - Accent2 2 2" xfId="9" xr:uid="{00000000-0005-0000-0000-000016000000}"/>
    <cellStyle name="20% - Accent2 2 2 2" xfId="1224" xr:uid="{00000000-0005-0000-0000-000017000000}"/>
    <cellStyle name="20% - Accent2 2 3" xfId="10" xr:uid="{00000000-0005-0000-0000-000018000000}"/>
    <cellStyle name="20% - Accent2 2 3 2" xfId="1225" xr:uid="{00000000-0005-0000-0000-000019000000}"/>
    <cellStyle name="20% - Accent2 2 3 3" xfId="1539" xr:uid="{00000000-0005-0000-0000-00001A000000}"/>
    <cellStyle name="20% - Accent2 2 4" xfId="11" xr:uid="{00000000-0005-0000-0000-00001B000000}"/>
    <cellStyle name="20% - Accent2 2 5" xfId="12" xr:uid="{00000000-0005-0000-0000-00001C000000}"/>
    <cellStyle name="20% - Accent2 3" xfId="1226" xr:uid="{00000000-0005-0000-0000-00001D000000}"/>
    <cellStyle name="20% - Accent2 4" xfId="1453" xr:uid="{00000000-0005-0000-0000-00001E000000}"/>
    <cellStyle name="20% - Accent2 5" xfId="1189" xr:uid="{00000000-0005-0000-0000-00001F000000}"/>
    <cellStyle name="20% - Accent2 5 2" xfId="2141" xr:uid="{00000000-0005-0000-0000-000020000000}"/>
    <cellStyle name="20% - Accent3" xfId="13" builtinId="38" customBuiltin="1"/>
    <cellStyle name="20% - Accent3 2" xfId="14" xr:uid="{00000000-0005-0000-0000-000022000000}"/>
    <cellStyle name="20% - Accent3 2 2" xfId="15" xr:uid="{00000000-0005-0000-0000-000023000000}"/>
    <cellStyle name="20% - Accent3 2 2 2" xfId="1229" xr:uid="{00000000-0005-0000-0000-000024000000}"/>
    <cellStyle name="20% - Accent3 2 2 3" xfId="1228" xr:uid="{00000000-0005-0000-0000-000025000000}"/>
    <cellStyle name="20% - Accent3 2 3" xfId="16" xr:uid="{00000000-0005-0000-0000-000026000000}"/>
    <cellStyle name="20% - Accent3 2 3 2" xfId="1230" xr:uid="{00000000-0005-0000-0000-000027000000}"/>
    <cellStyle name="20% - Accent3 2 3 3" xfId="1540" xr:uid="{00000000-0005-0000-0000-000028000000}"/>
    <cellStyle name="20% - Accent3 2 4" xfId="17" xr:uid="{00000000-0005-0000-0000-000029000000}"/>
    <cellStyle name="20% - Accent3 2 5" xfId="18" xr:uid="{00000000-0005-0000-0000-00002A000000}"/>
    <cellStyle name="20% - Accent3 2 6" xfId="1227" xr:uid="{00000000-0005-0000-0000-00002B000000}"/>
    <cellStyle name="20% - Accent3 3" xfId="1231" xr:uid="{00000000-0005-0000-0000-00002C000000}"/>
    <cellStyle name="20% - Accent3 3 2" xfId="1232" xr:uid="{00000000-0005-0000-0000-00002D000000}"/>
    <cellStyle name="20% - Accent3 3 2 2" xfId="1233" xr:uid="{00000000-0005-0000-0000-00002E000000}"/>
    <cellStyle name="20% - Accent3 3 3" xfId="1234" xr:uid="{00000000-0005-0000-0000-00002F000000}"/>
    <cellStyle name="20% - Accent3 4" xfId="1235" xr:uid="{00000000-0005-0000-0000-000030000000}"/>
    <cellStyle name="20% - Accent3 5" xfId="1454" xr:uid="{00000000-0005-0000-0000-000031000000}"/>
    <cellStyle name="20% - Accent3 6" xfId="1191" xr:uid="{00000000-0005-0000-0000-000032000000}"/>
    <cellStyle name="20% - Accent3 6 2" xfId="2143" xr:uid="{00000000-0005-0000-0000-000033000000}"/>
    <cellStyle name="20% - Accent4" xfId="19" builtinId="42" customBuiltin="1"/>
    <cellStyle name="20% - Accent4 2" xfId="20" xr:uid="{00000000-0005-0000-0000-000035000000}"/>
    <cellStyle name="20% - Accent4 2 2" xfId="21" xr:uid="{00000000-0005-0000-0000-000036000000}"/>
    <cellStyle name="20% - Accent4 2 2 2" xfId="1238" xr:uid="{00000000-0005-0000-0000-000037000000}"/>
    <cellStyle name="20% - Accent4 2 2 3" xfId="1237" xr:uid="{00000000-0005-0000-0000-000038000000}"/>
    <cellStyle name="20% - Accent4 2 3" xfId="22" xr:uid="{00000000-0005-0000-0000-000039000000}"/>
    <cellStyle name="20% - Accent4 2 3 2" xfId="1239" xr:uid="{00000000-0005-0000-0000-00003A000000}"/>
    <cellStyle name="20% - Accent4 2 3 3" xfId="1541" xr:uid="{00000000-0005-0000-0000-00003B000000}"/>
    <cellStyle name="20% - Accent4 2 4" xfId="23" xr:uid="{00000000-0005-0000-0000-00003C000000}"/>
    <cellStyle name="20% - Accent4 2 5" xfId="24" xr:uid="{00000000-0005-0000-0000-00003D000000}"/>
    <cellStyle name="20% - Accent4 2 6" xfId="1236" xr:uid="{00000000-0005-0000-0000-00003E000000}"/>
    <cellStyle name="20% - Accent4 3" xfId="1240" xr:uid="{00000000-0005-0000-0000-00003F000000}"/>
    <cellStyle name="20% - Accent4 3 2" xfId="1241" xr:uid="{00000000-0005-0000-0000-000040000000}"/>
    <cellStyle name="20% - Accent4 3 2 2" xfId="1242" xr:uid="{00000000-0005-0000-0000-000041000000}"/>
    <cellStyle name="20% - Accent4 3 3" xfId="1243" xr:uid="{00000000-0005-0000-0000-000042000000}"/>
    <cellStyle name="20% - Accent4 4" xfId="1244" xr:uid="{00000000-0005-0000-0000-000043000000}"/>
    <cellStyle name="20% - Accent4 5" xfId="1455" xr:uid="{00000000-0005-0000-0000-000044000000}"/>
    <cellStyle name="20% - Accent4 6" xfId="1193" xr:uid="{00000000-0005-0000-0000-000045000000}"/>
    <cellStyle name="20% - Accent4 6 2" xfId="2145" xr:uid="{00000000-0005-0000-0000-000046000000}"/>
    <cellStyle name="20% - Accent5" xfId="25" builtinId="46" customBuiltin="1"/>
    <cellStyle name="20% - Accent5 2" xfId="26" xr:uid="{00000000-0005-0000-0000-000048000000}"/>
    <cellStyle name="20% - Accent5 2 2" xfId="27" xr:uid="{00000000-0005-0000-0000-000049000000}"/>
    <cellStyle name="20% - Accent5 2 2 2" xfId="1245" xr:uid="{00000000-0005-0000-0000-00004A000000}"/>
    <cellStyle name="20% - Accent5 2 3" xfId="28" xr:uid="{00000000-0005-0000-0000-00004B000000}"/>
    <cellStyle name="20% - Accent5 2 3 2" xfId="1246" xr:uid="{00000000-0005-0000-0000-00004C000000}"/>
    <cellStyle name="20% - Accent5 2 3 3" xfId="1542" xr:uid="{00000000-0005-0000-0000-00004D000000}"/>
    <cellStyle name="20% - Accent5 2 4" xfId="29" xr:uid="{00000000-0005-0000-0000-00004E000000}"/>
    <cellStyle name="20% - Accent5 2 5" xfId="30" xr:uid="{00000000-0005-0000-0000-00004F000000}"/>
    <cellStyle name="20% - Accent5 3" xfId="1247" xr:uid="{00000000-0005-0000-0000-000050000000}"/>
    <cellStyle name="20% - Accent5 4" xfId="1456" xr:uid="{00000000-0005-0000-0000-000051000000}"/>
    <cellStyle name="20% - Accent5 5" xfId="1195" xr:uid="{00000000-0005-0000-0000-000052000000}"/>
    <cellStyle name="20% - Accent5 5 2" xfId="2147" xr:uid="{00000000-0005-0000-0000-000053000000}"/>
    <cellStyle name="20% - Accent6" xfId="31" builtinId="50" customBuiltin="1"/>
    <cellStyle name="20% - Accent6 2" xfId="32" xr:uid="{00000000-0005-0000-0000-000055000000}"/>
    <cellStyle name="20% - Accent6 2 2" xfId="33" xr:uid="{00000000-0005-0000-0000-000056000000}"/>
    <cellStyle name="20% - Accent6 2 2 2" xfId="1248" xr:uid="{00000000-0005-0000-0000-000057000000}"/>
    <cellStyle name="20% - Accent6 2 3" xfId="34" xr:uid="{00000000-0005-0000-0000-000058000000}"/>
    <cellStyle name="20% - Accent6 2 3 2" xfId="1249" xr:uid="{00000000-0005-0000-0000-000059000000}"/>
    <cellStyle name="20% - Accent6 2 3 3" xfId="1543" xr:uid="{00000000-0005-0000-0000-00005A000000}"/>
    <cellStyle name="20% - Accent6 2 4" xfId="35" xr:uid="{00000000-0005-0000-0000-00005B000000}"/>
    <cellStyle name="20% - Accent6 2 5" xfId="36" xr:uid="{00000000-0005-0000-0000-00005C000000}"/>
    <cellStyle name="20% - Accent6 3" xfId="1250" xr:uid="{00000000-0005-0000-0000-00005D000000}"/>
    <cellStyle name="20% - Accent6 4" xfId="1457" xr:uid="{00000000-0005-0000-0000-00005E000000}"/>
    <cellStyle name="20% - Accent6 5" xfId="1197" xr:uid="{00000000-0005-0000-0000-00005F000000}"/>
    <cellStyle name="20% - Accent6 5 2" xfId="2149" xr:uid="{00000000-0005-0000-0000-000060000000}"/>
    <cellStyle name="40% - Accent1" xfId="37" builtinId="31" customBuiltin="1"/>
    <cellStyle name="40% - Accent1 2" xfId="38" xr:uid="{00000000-0005-0000-0000-000062000000}"/>
    <cellStyle name="40% - Accent1 2 2" xfId="39" xr:uid="{00000000-0005-0000-0000-000063000000}"/>
    <cellStyle name="40% - Accent1 2 2 2" xfId="1253" xr:uid="{00000000-0005-0000-0000-000064000000}"/>
    <cellStyle name="40% - Accent1 2 2 3" xfId="1252" xr:uid="{00000000-0005-0000-0000-000065000000}"/>
    <cellStyle name="40% - Accent1 2 3" xfId="40" xr:uid="{00000000-0005-0000-0000-000066000000}"/>
    <cellStyle name="40% - Accent1 2 3 2" xfId="1254" xr:uid="{00000000-0005-0000-0000-000067000000}"/>
    <cellStyle name="40% - Accent1 2 3 3" xfId="1544" xr:uid="{00000000-0005-0000-0000-000068000000}"/>
    <cellStyle name="40% - Accent1 2 4" xfId="41" xr:uid="{00000000-0005-0000-0000-000069000000}"/>
    <cellStyle name="40% - Accent1 2 5" xfId="42" xr:uid="{00000000-0005-0000-0000-00006A000000}"/>
    <cellStyle name="40% - Accent1 2 6" xfId="1251" xr:uid="{00000000-0005-0000-0000-00006B000000}"/>
    <cellStyle name="40% - Accent1 3" xfId="1255" xr:uid="{00000000-0005-0000-0000-00006C000000}"/>
    <cellStyle name="40% - Accent1 3 2" xfId="1256" xr:uid="{00000000-0005-0000-0000-00006D000000}"/>
    <cellStyle name="40% - Accent1 3 2 2" xfId="1257" xr:uid="{00000000-0005-0000-0000-00006E000000}"/>
    <cellStyle name="40% - Accent1 3 3" xfId="1258" xr:uid="{00000000-0005-0000-0000-00006F000000}"/>
    <cellStyle name="40% - Accent1 4" xfId="1259" xr:uid="{00000000-0005-0000-0000-000070000000}"/>
    <cellStyle name="40% - Accent1 5" xfId="1458" xr:uid="{00000000-0005-0000-0000-000071000000}"/>
    <cellStyle name="40% - Accent1 6" xfId="1188" xr:uid="{00000000-0005-0000-0000-000072000000}"/>
    <cellStyle name="40% - Accent1 6 2" xfId="2140" xr:uid="{00000000-0005-0000-0000-000073000000}"/>
    <cellStyle name="40% - Accent2" xfId="43" builtinId="35" customBuiltin="1"/>
    <cellStyle name="40% - Accent2 2" xfId="44" xr:uid="{00000000-0005-0000-0000-000075000000}"/>
    <cellStyle name="40% - Accent2 2 2" xfId="45" xr:uid="{00000000-0005-0000-0000-000076000000}"/>
    <cellStyle name="40% - Accent2 2 2 2" xfId="1260" xr:uid="{00000000-0005-0000-0000-000077000000}"/>
    <cellStyle name="40% - Accent2 2 3" xfId="46" xr:uid="{00000000-0005-0000-0000-000078000000}"/>
    <cellStyle name="40% - Accent2 2 3 2" xfId="1261" xr:uid="{00000000-0005-0000-0000-000079000000}"/>
    <cellStyle name="40% - Accent2 2 3 3" xfId="1545" xr:uid="{00000000-0005-0000-0000-00007A000000}"/>
    <cellStyle name="40% - Accent2 2 4" xfId="47" xr:uid="{00000000-0005-0000-0000-00007B000000}"/>
    <cellStyle name="40% - Accent2 2 5" xfId="48" xr:uid="{00000000-0005-0000-0000-00007C000000}"/>
    <cellStyle name="40% - Accent2 3" xfId="1262" xr:uid="{00000000-0005-0000-0000-00007D000000}"/>
    <cellStyle name="40% - Accent2 4" xfId="1459" xr:uid="{00000000-0005-0000-0000-00007E000000}"/>
    <cellStyle name="40% - Accent2 5" xfId="1190" xr:uid="{00000000-0005-0000-0000-00007F000000}"/>
    <cellStyle name="40% - Accent2 5 2" xfId="2142" xr:uid="{00000000-0005-0000-0000-000080000000}"/>
    <cellStyle name="40% - Accent3" xfId="49" builtinId="39" customBuiltin="1"/>
    <cellStyle name="40% - Accent3 2" xfId="50" xr:uid="{00000000-0005-0000-0000-000082000000}"/>
    <cellStyle name="40% - Accent3 2 2" xfId="51" xr:uid="{00000000-0005-0000-0000-000083000000}"/>
    <cellStyle name="40% - Accent3 2 2 2" xfId="1265" xr:uid="{00000000-0005-0000-0000-000084000000}"/>
    <cellStyle name="40% - Accent3 2 2 3" xfId="1264" xr:uid="{00000000-0005-0000-0000-000085000000}"/>
    <cellStyle name="40% - Accent3 2 3" xfId="52" xr:uid="{00000000-0005-0000-0000-000086000000}"/>
    <cellStyle name="40% - Accent3 2 3 2" xfId="1266" xr:uid="{00000000-0005-0000-0000-000087000000}"/>
    <cellStyle name="40% - Accent3 2 3 3" xfId="1546" xr:uid="{00000000-0005-0000-0000-000088000000}"/>
    <cellStyle name="40% - Accent3 2 4" xfId="53" xr:uid="{00000000-0005-0000-0000-000089000000}"/>
    <cellStyle name="40% - Accent3 2 5" xfId="54" xr:uid="{00000000-0005-0000-0000-00008A000000}"/>
    <cellStyle name="40% - Accent3 2 6" xfId="1263" xr:uid="{00000000-0005-0000-0000-00008B000000}"/>
    <cellStyle name="40% - Accent3 3" xfId="1267" xr:uid="{00000000-0005-0000-0000-00008C000000}"/>
    <cellStyle name="40% - Accent3 3 2" xfId="1268" xr:uid="{00000000-0005-0000-0000-00008D000000}"/>
    <cellStyle name="40% - Accent3 3 2 2" xfId="1269" xr:uid="{00000000-0005-0000-0000-00008E000000}"/>
    <cellStyle name="40% - Accent3 3 3" xfId="1270" xr:uid="{00000000-0005-0000-0000-00008F000000}"/>
    <cellStyle name="40% - Accent3 4" xfId="1271" xr:uid="{00000000-0005-0000-0000-000090000000}"/>
    <cellStyle name="40% - Accent3 5" xfId="1460" xr:uid="{00000000-0005-0000-0000-000091000000}"/>
    <cellStyle name="40% - Accent3 6" xfId="1192" xr:uid="{00000000-0005-0000-0000-000092000000}"/>
    <cellStyle name="40% - Accent3 6 2" xfId="2144" xr:uid="{00000000-0005-0000-0000-000093000000}"/>
    <cellStyle name="40% - Accent4" xfId="55" builtinId="43" customBuiltin="1"/>
    <cellStyle name="40% - Accent4 2" xfId="56" xr:uid="{00000000-0005-0000-0000-000095000000}"/>
    <cellStyle name="40% - Accent4 2 2" xfId="57" xr:uid="{00000000-0005-0000-0000-000096000000}"/>
    <cellStyle name="40% - Accent4 2 2 2" xfId="1274" xr:uid="{00000000-0005-0000-0000-000097000000}"/>
    <cellStyle name="40% - Accent4 2 2 3" xfId="1273" xr:uid="{00000000-0005-0000-0000-000098000000}"/>
    <cellStyle name="40% - Accent4 2 3" xfId="58" xr:uid="{00000000-0005-0000-0000-000099000000}"/>
    <cellStyle name="40% - Accent4 2 3 2" xfId="1275" xr:uid="{00000000-0005-0000-0000-00009A000000}"/>
    <cellStyle name="40% - Accent4 2 3 3" xfId="1547" xr:uid="{00000000-0005-0000-0000-00009B000000}"/>
    <cellStyle name="40% - Accent4 2 4" xfId="59" xr:uid="{00000000-0005-0000-0000-00009C000000}"/>
    <cellStyle name="40% - Accent4 2 5" xfId="60" xr:uid="{00000000-0005-0000-0000-00009D000000}"/>
    <cellStyle name="40% - Accent4 2 6" xfId="1272" xr:uid="{00000000-0005-0000-0000-00009E000000}"/>
    <cellStyle name="40% - Accent4 3" xfId="1276" xr:uid="{00000000-0005-0000-0000-00009F000000}"/>
    <cellStyle name="40% - Accent4 3 2" xfId="1277" xr:uid="{00000000-0005-0000-0000-0000A0000000}"/>
    <cellStyle name="40% - Accent4 3 2 2" xfId="1278" xr:uid="{00000000-0005-0000-0000-0000A1000000}"/>
    <cellStyle name="40% - Accent4 3 3" xfId="1279" xr:uid="{00000000-0005-0000-0000-0000A2000000}"/>
    <cellStyle name="40% - Accent4 4" xfId="1280" xr:uid="{00000000-0005-0000-0000-0000A3000000}"/>
    <cellStyle name="40% - Accent4 5" xfId="1461" xr:uid="{00000000-0005-0000-0000-0000A4000000}"/>
    <cellStyle name="40% - Accent4 6" xfId="1194" xr:uid="{00000000-0005-0000-0000-0000A5000000}"/>
    <cellStyle name="40% - Accent4 6 2" xfId="2146" xr:uid="{00000000-0005-0000-0000-0000A6000000}"/>
    <cellStyle name="40% - Accent5" xfId="61" builtinId="47" customBuiltin="1"/>
    <cellStyle name="40% - Accent5 2" xfId="62" xr:uid="{00000000-0005-0000-0000-0000A8000000}"/>
    <cellStyle name="40% - Accent5 2 2" xfId="63" xr:uid="{00000000-0005-0000-0000-0000A9000000}"/>
    <cellStyle name="40% - Accent5 2 2 2" xfId="1281" xr:uid="{00000000-0005-0000-0000-0000AA000000}"/>
    <cellStyle name="40% - Accent5 2 3" xfId="64" xr:uid="{00000000-0005-0000-0000-0000AB000000}"/>
    <cellStyle name="40% - Accent5 2 3 2" xfId="1282" xr:uid="{00000000-0005-0000-0000-0000AC000000}"/>
    <cellStyle name="40% - Accent5 2 3 3" xfId="1548" xr:uid="{00000000-0005-0000-0000-0000AD000000}"/>
    <cellStyle name="40% - Accent5 2 4" xfId="65" xr:uid="{00000000-0005-0000-0000-0000AE000000}"/>
    <cellStyle name="40% - Accent5 2 5" xfId="66" xr:uid="{00000000-0005-0000-0000-0000AF000000}"/>
    <cellStyle name="40% - Accent5 3" xfId="1283" xr:uid="{00000000-0005-0000-0000-0000B0000000}"/>
    <cellStyle name="40% - Accent5 4" xfId="1462" xr:uid="{00000000-0005-0000-0000-0000B1000000}"/>
    <cellStyle name="40% - Accent5 5" xfId="1196" xr:uid="{00000000-0005-0000-0000-0000B2000000}"/>
    <cellStyle name="40% - Accent5 5 2" xfId="2148" xr:uid="{00000000-0005-0000-0000-0000B3000000}"/>
    <cellStyle name="40% - Accent6" xfId="67" builtinId="51" customBuiltin="1"/>
    <cellStyle name="40% - Accent6 2" xfId="68" xr:uid="{00000000-0005-0000-0000-0000B5000000}"/>
    <cellStyle name="40% - Accent6 2 2" xfId="69" xr:uid="{00000000-0005-0000-0000-0000B6000000}"/>
    <cellStyle name="40% - Accent6 2 2 2" xfId="1286" xr:uid="{00000000-0005-0000-0000-0000B7000000}"/>
    <cellStyle name="40% - Accent6 2 2 3" xfId="1285" xr:uid="{00000000-0005-0000-0000-0000B8000000}"/>
    <cellStyle name="40% - Accent6 2 3" xfId="70" xr:uid="{00000000-0005-0000-0000-0000B9000000}"/>
    <cellStyle name="40% - Accent6 2 3 2" xfId="1287" xr:uid="{00000000-0005-0000-0000-0000BA000000}"/>
    <cellStyle name="40% - Accent6 2 3 3" xfId="1549" xr:uid="{00000000-0005-0000-0000-0000BB000000}"/>
    <cellStyle name="40% - Accent6 2 4" xfId="71" xr:uid="{00000000-0005-0000-0000-0000BC000000}"/>
    <cellStyle name="40% - Accent6 2 5" xfId="72" xr:uid="{00000000-0005-0000-0000-0000BD000000}"/>
    <cellStyle name="40% - Accent6 2 6" xfId="1284" xr:uid="{00000000-0005-0000-0000-0000BE000000}"/>
    <cellStyle name="40% - Accent6 3" xfId="1288" xr:uid="{00000000-0005-0000-0000-0000BF000000}"/>
    <cellStyle name="40% - Accent6 3 2" xfId="1289" xr:uid="{00000000-0005-0000-0000-0000C0000000}"/>
    <cellStyle name="40% - Accent6 3 2 2" xfId="1290" xr:uid="{00000000-0005-0000-0000-0000C1000000}"/>
    <cellStyle name="40% - Accent6 3 3" xfId="1291" xr:uid="{00000000-0005-0000-0000-0000C2000000}"/>
    <cellStyle name="40% - Accent6 4" xfId="1292" xr:uid="{00000000-0005-0000-0000-0000C3000000}"/>
    <cellStyle name="40% - Accent6 5" xfId="1463" xr:uid="{00000000-0005-0000-0000-0000C4000000}"/>
    <cellStyle name="40% - Accent6 6" xfId="1198" xr:uid="{00000000-0005-0000-0000-0000C5000000}"/>
    <cellStyle name="40% - Accent6 6 2" xfId="2150" xr:uid="{00000000-0005-0000-0000-0000C6000000}"/>
    <cellStyle name="60% - Accent1" xfId="73" builtinId="32" customBuiltin="1"/>
    <cellStyle name="60% - Accent1 2" xfId="74" xr:uid="{00000000-0005-0000-0000-0000C8000000}"/>
    <cellStyle name="60% - Accent1 2 2" xfId="75" xr:uid="{00000000-0005-0000-0000-0000C9000000}"/>
    <cellStyle name="60% - Accent1 2 3" xfId="76" xr:uid="{00000000-0005-0000-0000-0000CA000000}"/>
    <cellStyle name="60% - Accent1 2 4" xfId="77" xr:uid="{00000000-0005-0000-0000-0000CB000000}"/>
    <cellStyle name="60% - Accent1 2 5" xfId="78" xr:uid="{00000000-0005-0000-0000-0000CC000000}"/>
    <cellStyle name="60% - Accent1 2 6" xfId="1293" xr:uid="{00000000-0005-0000-0000-0000CD000000}"/>
    <cellStyle name="60% - Accent1 3" xfId="1294" xr:uid="{00000000-0005-0000-0000-0000CE000000}"/>
    <cellStyle name="60% - Accent1 4" xfId="1295" xr:uid="{00000000-0005-0000-0000-0000CF000000}"/>
    <cellStyle name="60% - Accent1 5" xfId="1507" xr:uid="{00000000-0005-0000-0000-0000D0000000}"/>
    <cellStyle name="60% - Accent2" xfId="79" builtinId="36" customBuiltin="1"/>
    <cellStyle name="60% - Accent2 2" xfId="80" xr:uid="{00000000-0005-0000-0000-0000D2000000}"/>
    <cellStyle name="60% - Accent2 2 2" xfId="81" xr:uid="{00000000-0005-0000-0000-0000D3000000}"/>
    <cellStyle name="60% - Accent2 2 3" xfId="82" xr:uid="{00000000-0005-0000-0000-0000D4000000}"/>
    <cellStyle name="60% - Accent2 2 4" xfId="83" xr:uid="{00000000-0005-0000-0000-0000D5000000}"/>
    <cellStyle name="60% - Accent2 2 5" xfId="84" xr:uid="{00000000-0005-0000-0000-0000D6000000}"/>
    <cellStyle name="60% - Accent2 3" xfId="1296" xr:uid="{00000000-0005-0000-0000-0000D7000000}"/>
    <cellStyle name="60% - Accent2 4" xfId="1464" xr:uid="{00000000-0005-0000-0000-0000D8000000}"/>
    <cellStyle name="60% - Accent3" xfId="85" builtinId="40" customBuiltin="1"/>
    <cellStyle name="60% - Accent3 2" xfId="86" xr:uid="{00000000-0005-0000-0000-0000DA000000}"/>
    <cellStyle name="60% - Accent3 2 2" xfId="87" xr:uid="{00000000-0005-0000-0000-0000DB000000}"/>
    <cellStyle name="60% - Accent3 2 3" xfId="88" xr:uid="{00000000-0005-0000-0000-0000DC000000}"/>
    <cellStyle name="60% - Accent3 2 4" xfId="89" xr:uid="{00000000-0005-0000-0000-0000DD000000}"/>
    <cellStyle name="60% - Accent3 2 5" xfId="90" xr:uid="{00000000-0005-0000-0000-0000DE000000}"/>
    <cellStyle name="60% - Accent3 2 6" xfId="1297" xr:uid="{00000000-0005-0000-0000-0000DF000000}"/>
    <cellStyle name="60% - Accent3 3" xfId="1298" xr:uid="{00000000-0005-0000-0000-0000E0000000}"/>
    <cellStyle name="60% - Accent3 4" xfId="1299" xr:uid="{00000000-0005-0000-0000-0000E1000000}"/>
    <cellStyle name="60% - Accent3 5" xfId="1465" xr:uid="{00000000-0005-0000-0000-0000E2000000}"/>
    <cellStyle name="60% - Accent4" xfId="91" builtinId="44" customBuiltin="1"/>
    <cellStyle name="60% - Accent4 2" xfId="92" xr:uid="{00000000-0005-0000-0000-0000E4000000}"/>
    <cellStyle name="60% - Accent4 2 2" xfId="93" xr:uid="{00000000-0005-0000-0000-0000E5000000}"/>
    <cellStyle name="60% - Accent4 2 3" xfId="94" xr:uid="{00000000-0005-0000-0000-0000E6000000}"/>
    <cellStyle name="60% - Accent4 2 4" xfId="95" xr:uid="{00000000-0005-0000-0000-0000E7000000}"/>
    <cellStyle name="60% - Accent4 2 5" xfId="96" xr:uid="{00000000-0005-0000-0000-0000E8000000}"/>
    <cellStyle name="60% - Accent4 2 6" xfId="1300" xr:uid="{00000000-0005-0000-0000-0000E9000000}"/>
    <cellStyle name="60% - Accent4 3" xfId="1301" xr:uid="{00000000-0005-0000-0000-0000EA000000}"/>
    <cellStyle name="60% - Accent4 4" xfId="1302" xr:uid="{00000000-0005-0000-0000-0000EB000000}"/>
    <cellStyle name="60% - Accent4 5" xfId="1466" xr:uid="{00000000-0005-0000-0000-0000EC000000}"/>
    <cellStyle name="60% - Accent5" xfId="97" builtinId="48" customBuiltin="1"/>
    <cellStyle name="60% - Accent5 2" xfId="98" xr:uid="{00000000-0005-0000-0000-0000EE000000}"/>
    <cellStyle name="60% - Accent5 2 2" xfId="99" xr:uid="{00000000-0005-0000-0000-0000EF000000}"/>
    <cellStyle name="60% - Accent5 2 3" xfId="100" xr:uid="{00000000-0005-0000-0000-0000F0000000}"/>
    <cellStyle name="60% - Accent5 2 4" xfId="101" xr:uid="{00000000-0005-0000-0000-0000F1000000}"/>
    <cellStyle name="60% - Accent5 2 5" xfId="102" xr:uid="{00000000-0005-0000-0000-0000F2000000}"/>
    <cellStyle name="60% - Accent5 3" xfId="1303" xr:uid="{00000000-0005-0000-0000-0000F3000000}"/>
    <cellStyle name="60% - Accent5 4" xfId="1467" xr:uid="{00000000-0005-0000-0000-0000F4000000}"/>
    <cellStyle name="60% - Accent6" xfId="103" builtinId="52" customBuiltin="1"/>
    <cellStyle name="60% - Accent6 2" xfId="104" xr:uid="{00000000-0005-0000-0000-0000F6000000}"/>
    <cellStyle name="60% - Accent6 2 2" xfId="105" xr:uid="{00000000-0005-0000-0000-0000F7000000}"/>
    <cellStyle name="60% - Accent6 2 3" xfId="106" xr:uid="{00000000-0005-0000-0000-0000F8000000}"/>
    <cellStyle name="60% - Accent6 2 4" xfId="107" xr:uid="{00000000-0005-0000-0000-0000F9000000}"/>
    <cellStyle name="60% - Accent6 2 5" xfId="108" xr:uid="{00000000-0005-0000-0000-0000FA000000}"/>
    <cellStyle name="60% - Accent6 2 6" xfId="1304" xr:uid="{00000000-0005-0000-0000-0000FB000000}"/>
    <cellStyle name="60% - Accent6 3" xfId="1305" xr:uid="{00000000-0005-0000-0000-0000FC000000}"/>
    <cellStyle name="60% - Accent6 4" xfId="1306" xr:uid="{00000000-0005-0000-0000-0000FD000000}"/>
    <cellStyle name="60% - Accent6 5" xfId="1468" xr:uid="{00000000-0005-0000-0000-0000FE000000}"/>
    <cellStyle name="Accent1" xfId="109" builtinId="29" customBuiltin="1"/>
    <cellStyle name="Accent1 2" xfId="110" xr:uid="{00000000-0005-0000-0000-000000010000}"/>
    <cellStyle name="Accent1 2 2" xfId="111" xr:uid="{00000000-0005-0000-0000-000001010000}"/>
    <cellStyle name="Accent1 2 3" xfId="112" xr:uid="{00000000-0005-0000-0000-000002010000}"/>
    <cellStyle name="Accent1 2 4" xfId="113" xr:uid="{00000000-0005-0000-0000-000003010000}"/>
    <cellStyle name="Accent1 2 5" xfId="114" xr:uid="{00000000-0005-0000-0000-000004010000}"/>
    <cellStyle name="Accent1 2 6" xfId="1307" xr:uid="{00000000-0005-0000-0000-000005010000}"/>
    <cellStyle name="Accent1 3" xfId="1308" xr:uid="{00000000-0005-0000-0000-000006010000}"/>
    <cellStyle name="Accent1 4" xfId="1309" xr:uid="{00000000-0005-0000-0000-000007010000}"/>
    <cellStyle name="Accent1 5" xfId="1469" xr:uid="{00000000-0005-0000-0000-000008010000}"/>
    <cellStyle name="Accent2" xfId="115" builtinId="33" customBuiltin="1"/>
    <cellStyle name="Accent2 2" xfId="116" xr:uid="{00000000-0005-0000-0000-00000A010000}"/>
    <cellStyle name="Accent2 2 2" xfId="117" xr:uid="{00000000-0005-0000-0000-00000B010000}"/>
    <cellStyle name="Accent2 2 3" xfId="118" xr:uid="{00000000-0005-0000-0000-00000C010000}"/>
    <cellStyle name="Accent2 2 4" xfId="119" xr:uid="{00000000-0005-0000-0000-00000D010000}"/>
    <cellStyle name="Accent2 2 5" xfId="120" xr:uid="{00000000-0005-0000-0000-00000E010000}"/>
    <cellStyle name="Accent2 3" xfId="1310" xr:uid="{00000000-0005-0000-0000-00000F010000}"/>
    <cellStyle name="Accent2 4" xfId="1470" xr:uid="{00000000-0005-0000-0000-000010010000}"/>
    <cellStyle name="Accent3" xfId="121" builtinId="37" customBuiltin="1"/>
    <cellStyle name="Accent3 2" xfId="122" xr:uid="{00000000-0005-0000-0000-000012010000}"/>
    <cellStyle name="Accent3 2 2" xfId="123" xr:uid="{00000000-0005-0000-0000-000013010000}"/>
    <cellStyle name="Accent3 2 3" xfId="124" xr:uid="{00000000-0005-0000-0000-000014010000}"/>
    <cellStyle name="Accent3 2 4" xfId="125" xr:uid="{00000000-0005-0000-0000-000015010000}"/>
    <cellStyle name="Accent3 2 5" xfId="126" xr:uid="{00000000-0005-0000-0000-000016010000}"/>
    <cellStyle name="Accent3 3" xfId="1311" xr:uid="{00000000-0005-0000-0000-000017010000}"/>
    <cellStyle name="Accent3 4" xfId="1471" xr:uid="{00000000-0005-0000-0000-000018010000}"/>
    <cellStyle name="Accent4" xfId="127" builtinId="41" customBuiltin="1"/>
    <cellStyle name="Accent4 2" xfId="128" xr:uid="{00000000-0005-0000-0000-00001A010000}"/>
    <cellStyle name="Accent4 2 2" xfId="129" xr:uid="{00000000-0005-0000-0000-00001B010000}"/>
    <cellStyle name="Accent4 2 3" xfId="130" xr:uid="{00000000-0005-0000-0000-00001C010000}"/>
    <cellStyle name="Accent4 2 4" xfId="131" xr:uid="{00000000-0005-0000-0000-00001D010000}"/>
    <cellStyle name="Accent4 2 5" xfId="132" xr:uid="{00000000-0005-0000-0000-00001E010000}"/>
    <cellStyle name="Accent4 2 6" xfId="1312" xr:uid="{00000000-0005-0000-0000-00001F010000}"/>
    <cellStyle name="Accent4 3" xfId="1313" xr:uid="{00000000-0005-0000-0000-000020010000}"/>
    <cellStyle name="Accent4 4" xfId="1314" xr:uid="{00000000-0005-0000-0000-000021010000}"/>
    <cellStyle name="Accent4 5" xfId="1472" xr:uid="{00000000-0005-0000-0000-000022010000}"/>
    <cellStyle name="Accent5" xfId="133" builtinId="45" customBuiltin="1"/>
    <cellStyle name="Accent5 2" xfId="134" xr:uid="{00000000-0005-0000-0000-000024010000}"/>
    <cellStyle name="Accent5 2 2" xfId="135" xr:uid="{00000000-0005-0000-0000-000025010000}"/>
    <cellStyle name="Accent5 2 3" xfId="136" xr:uid="{00000000-0005-0000-0000-000026010000}"/>
    <cellStyle name="Accent5 2 4" xfId="137" xr:uid="{00000000-0005-0000-0000-000027010000}"/>
    <cellStyle name="Accent5 2 5" xfId="138" xr:uid="{00000000-0005-0000-0000-000028010000}"/>
    <cellStyle name="Accent5 3" xfId="1315" xr:uid="{00000000-0005-0000-0000-000029010000}"/>
    <cellStyle name="Accent5 4" xfId="1473" xr:uid="{00000000-0005-0000-0000-00002A010000}"/>
    <cellStyle name="Accent6" xfId="139" builtinId="49" customBuiltin="1"/>
    <cellStyle name="Accent6 2" xfId="140" xr:uid="{00000000-0005-0000-0000-00002C010000}"/>
    <cellStyle name="Accent6 2 2" xfId="141" xr:uid="{00000000-0005-0000-0000-00002D010000}"/>
    <cellStyle name="Accent6 2 3" xfId="142" xr:uid="{00000000-0005-0000-0000-00002E010000}"/>
    <cellStyle name="Accent6 2 4" xfId="143" xr:uid="{00000000-0005-0000-0000-00002F010000}"/>
    <cellStyle name="Accent6 2 5" xfId="144" xr:uid="{00000000-0005-0000-0000-000030010000}"/>
    <cellStyle name="Accent6 3" xfId="1316" xr:uid="{00000000-0005-0000-0000-000031010000}"/>
    <cellStyle name="Accent6 4" xfId="1474" xr:uid="{00000000-0005-0000-0000-000032010000}"/>
    <cellStyle name="Bad" xfId="145" builtinId="27" customBuiltin="1"/>
    <cellStyle name="Bad 2" xfId="146" xr:uid="{00000000-0005-0000-0000-000034010000}"/>
    <cellStyle name="Bad 2 2" xfId="147" xr:uid="{00000000-0005-0000-0000-000035010000}"/>
    <cellStyle name="Bad 2 3" xfId="148" xr:uid="{00000000-0005-0000-0000-000036010000}"/>
    <cellStyle name="Bad 2 4" xfId="149" xr:uid="{00000000-0005-0000-0000-000037010000}"/>
    <cellStyle name="Bad 2 5" xfId="150" xr:uid="{00000000-0005-0000-0000-000038010000}"/>
    <cellStyle name="Bad 2 6" xfId="1317" xr:uid="{00000000-0005-0000-0000-000039010000}"/>
    <cellStyle name="Bad 3" xfId="1318" xr:uid="{00000000-0005-0000-0000-00003A010000}"/>
    <cellStyle name="Bad 4" xfId="1319" xr:uid="{00000000-0005-0000-0000-00003B010000}"/>
    <cellStyle name="Bad 5" xfId="1475" xr:uid="{00000000-0005-0000-0000-00003C010000}"/>
    <cellStyle name="C00A" xfId="151" xr:uid="{00000000-0005-0000-0000-00003D010000}"/>
    <cellStyle name="C00B" xfId="152" xr:uid="{00000000-0005-0000-0000-00003E010000}"/>
    <cellStyle name="C00L" xfId="153" xr:uid="{00000000-0005-0000-0000-00003F010000}"/>
    <cellStyle name="C01A" xfId="154" xr:uid="{00000000-0005-0000-0000-000040010000}"/>
    <cellStyle name="C01B" xfId="155" xr:uid="{00000000-0005-0000-0000-000041010000}"/>
    <cellStyle name="C01B 2" xfId="156" xr:uid="{00000000-0005-0000-0000-000042010000}"/>
    <cellStyle name="C01B 2 2" xfId="1550" xr:uid="{00000000-0005-0000-0000-000043010000}"/>
    <cellStyle name="C01B 3" xfId="1476" xr:uid="{00000000-0005-0000-0000-000044010000}"/>
    <cellStyle name="C01H" xfId="157" xr:uid="{00000000-0005-0000-0000-000045010000}"/>
    <cellStyle name="C01L" xfId="158" xr:uid="{00000000-0005-0000-0000-000046010000}"/>
    <cellStyle name="C02A" xfId="159" xr:uid="{00000000-0005-0000-0000-000047010000}"/>
    <cellStyle name="C02B" xfId="160" xr:uid="{00000000-0005-0000-0000-000048010000}"/>
    <cellStyle name="C02B 2" xfId="161" xr:uid="{00000000-0005-0000-0000-000049010000}"/>
    <cellStyle name="C02B 2 2" xfId="1551" xr:uid="{00000000-0005-0000-0000-00004A010000}"/>
    <cellStyle name="C02B 3" xfId="1477" xr:uid="{00000000-0005-0000-0000-00004B010000}"/>
    <cellStyle name="C02H" xfId="162" xr:uid="{00000000-0005-0000-0000-00004C010000}"/>
    <cellStyle name="C02L" xfId="163" xr:uid="{00000000-0005-0000-0000-00004D010000}"/>
    <cellStyle name="C03A" xfId="164" xr:uid="{00000000-0005-0000-0000-00004E010000}"/>
    <cellStyle name="C03B" xfId="165" xr:uid="{00000000-0005-0000-0000-00004F010000}"/>
    <cellStyle name="C03H" xfId="166" xr:uid="{00000000-0005-0000-0000-000050010000}"/>
    <cellStyle name="C03L" xfId="167" xr:uid="{00000000-0005-0000-0000-000051010000}"/>
    <cellStyle name="C04A" xfId="168" xr:uid="{00000000-0005-0000-0000-000052010000}"/>
    <cellStyle name="C04A 2" xfId="169" xr:uid="{00000000-0005-0000-0000-000053010000}"/>
    <cellStyle name="C04A 2 2" xfId="1552" xr:uid="{00000000-0005-0000-0000-000054010000}"/>
    <cellStyle name="C04A 3" xfId="1478" xr:uid="{00000000-0005-0000-0000-000055010000}"/>
    <cellStyle name="C04B" xfId="170" xr:uid="{00000000-0005-0000-0000-000056010000}"/>
    <cellStyle name="C04H" xfId="171" xr:uid="{00000000-0005-0000-0000-000057010000}"/>
    <cellStyle name="C04L" xfId="172" xr:uid="{00000000-0005-0000-0000-000058010000}"/>
    <cellStyle name="C05A" xfId="173" xr:uid="{00000000-0005-0000-0000-000059010000}"/>
    <cellStyle name="C05B" xfId="174" xr:uid="{00000000-0005-0000-0000-00005A010000}"/>
    <cellStyle name="C05H" xfId="175" xr:uid="{00000000-0005-0000-0000-00005B010000}"/>
    <cellStyle name="C05L" xfId="176" xr:uid="{00000000-0005-0000-0000-00005C010000}"/>
    <cellStyle name="C05L 2" xfId="177" xr:uid="{00000000-0005-0000-0000-00005D010000}"/>
    <cellStyle name="C05L 2 2" xfId="1553" xr:uid="{00000000-0005-0000-0000-00005E010000}"/>
    <cellStyle name="C05L 3" xfId="1479" xr:uid="{00000000-0005-0000-0000-00005F010000}"/>
    <cellStyle name="C06A" xfId="178" xr:uid="{00000000-0005-0000-0000-000060010000}"/>
    <cellStyle name="C06B" xfId="179" xr:uid="{00000000-0005-0000-0000-000061010000}"/>
    <cellStyle name="C06H" xfId="180" xr:uid="{00000000-0005-0000-0000-000062010000}"/>
    <cellStyle name="C06L" xfId="181" xr:uid="{00000000-0005-0000-0000-000063010000}"/>
    <cellStyle name="C07A" xfId="182" xr:uid="{00000000-0005-0000-0000-000064010000}"/>
    <cellStyle name="C07B" xfId="183" xr:uid="{00000000-0005-0000-0000-000065010000}"/>
    <cellStyle name="C07H" xfId="184" xr:uid="{00000000-0005-0000-0000-000066010000}"/>
    <cellStyle name="C07L" xfId="185" xr:uid="{00000000-0005-0000-0000-000067010000}"/>
    <cellStyle name="cajun" xfId="1320" xr:uid="{00000000-0005-0000-0000-000068010000}"/>
    <cellStyle name="Calculation" xfId="186" builtinId="22" customBuiltin="1"/>
    <cellStyle name="Calculation 2" xfId="187" xr:uid="{00000000-0005-0000-0000-00006A010000}"/>
    <cellStyle name="Calculation 2 2" xfId="188" xr:uid="{00000000-0005-0000-0000-00006B010000}"/>
    <cellStyle name="Calculation 2 3" xfId="189" xr:uid="{00000000-0005-0000-0000-00006C010000}"/>
    <cellStyle name="Calculation 2 4" xfId="190" xr:uid="{00000000-0005-0000-0000-00006D010000}"/>
    <cellStyle name="Calculation 2 5" xfId="191" xr:uid="{00000000-0005-0000-0000-00006E010000}"/>
    <cellStyle name="Calculation 3" xfId="1321" xr:uid="{00000000-0005-0000-0000-00006F010000}"/>
    <cellStyle name="Calculation 4" xfId="1509" xr:uid="{00000000-0005-0000-0000-000070010000}"/>
    <cellStyle name="Check Cell" xfId="192" builtinId="23" customBuiltin="1"/>
    <cellStyle name="Check Cell 2" xfId="193" xr:uid="{00000000-0005-0000-0000-000072010000}"/>
    <cellStyle name="Check Cell 2 2" xfId="194" xr:uid="{00000000-0005-0000-0000-000073010000}"/>
    <cellStyle name="Check Cell 2 3" xfId="195" xr:uid="{00000000-0005-0000-0000-000074010000}"/>
    <cellStyle name="Check Cell 2 4" xfId="196" xr:uid="{00000000-0005-0000-0000-000075010000}"/>
    <cellStyle name="Check Cell 2 5" xfId="197" xr:uid="{00000000-0005-0000-0000-000076010000}"/>
    <cellStyle name="Check Cell 2 6" xfId="1322" xr:uid="{00000000-0005-0000-0000-000077010000}"/>
    <cellStyle name="Check Cell 3" xfId="1323" xr:uid="{00000000-0005-0000-0000-000078010000}"/>
    <cellStyle name="Check Cell 4" xfId="1324" xr:uid="{00000000-0005-0000-0000-000079010000}"/>
    <cellStyle name="Check Cell 5" xfId="1480" xr:uid="{00000000-0005-0000-0000-00007A010000}"/>
    <cellStyle name="Comma" xfId="198" builtinId="3"/>
    <cellStyle name="Comma [0] 2" xfId="199" xr:uid="{00000000-0005-0000-0000-00007C010000}"/>
    <cellStyle name="Comma [0] 2 2" xfId="200" xr:uid="{00000000-0005-0000-0000-00007D010000}"/>
    <cellStyle name="Comma [0] 2 2 2" xfId="1325" xr:uid="{00000000-0005-0000-0000-00007E010000}"/>
    <cellStyle name="Comma [0] 2 3" xfId="1214" xr:uid="{00000000-0005-0000-0000-00007F010000}"/>
    <cellStyle name="Comma [0] 2 4" xfId="2180" xr:uid="{00000000-0005-0000-0000-000080010000}"/>
    <cellStyle name="Comma 10" xfId="201" xr:uid="{00000000-0005-0000-0000-000081010000}"/>
    <cellStyle name="Comma 10 2" xfId="1326" xr:uid="{00000000-0005-0000-0000-000082010000}"/>
    <cellStyle name="Comma 100" xfId="202" xr:uid="{00000000-0005-0000-0000-000083010000}"/>
    <cellStyle name="Comma 100 2" xfId="1533" xr:uid="{00000000-0005-0000-0000-000084010000}"/>
    <cellStyle name="Comma 101" xfId="203" xr:uid="{00000000-0005-0000-0000-000085010000}"/>
    <cellStyle name="Comma 101 2" xfId="204" xr:uid="{00000000-0005-0000-0000-000086010000}"/>
    <cellStyle name="Comma 101 2 2" xfId="1555" xr:uid="{00000000-0005-0000-0000-000087010000}"/>
    <cellStyle name="Comma 101 3" xfId="1554" xr:uid="{00000000-0005-0000-0000-000088010000}"/>
    <cellStyle name="Comma 102" xfId="205" xr:uid="{00000000-0005-0000-0000-000089010000}"/>
    <cellStyle name="Comma 102 2" xfId="206" xr:uid="{00000000-0005-0000-0000-00008A010000}"/>
    <cellStyle name="Comma 102 2 2" xfId="1557" xr:uid="{00000000-0005-0000-0000-00008B010000}"/>
    <cellStyle name="Comma 102 3" xfId="1556" xr:uid="{00000000-0005-0000-0000-00008C010000}"/>
    <cellStyle name="Comma 103" xfId="207" xr:uid="{00000000-0005-0000-0000-00008D010000}"/>
    <cellStyle name="Comma 103 2" xfId="208" xr:uid="{00000000-0005-0000-0000-00008E010000}"/>
    <cellStyle name="Comma 103 2 2" xfId="1559" xr:uid="{00000000-0005-0000-0000-00008F010000}"/>
    <cellStyle name="Comma 103 3" xfId="1558" xr:uid="{00000000-0005-0000-0000-000090010000}"/>
    <cellStyle name="Comma 104" xfId="209" xr:uid="{00000000-0005-0000-0000-000091010000}"/>
    <cellStyle name="Comma 104 2" xfId="210" xr:uid="{00000000-0005-0000-0000-000092010000}"/>
    <cellStyle name="Comma 104 2 2" xfId="1561" xr:uid="{00000000-0005-0000-0000-000093010000}"/>
    <cellStyle name="Comma 104 3" xfId="1560" xr:uid="{00000000-0005-0000-0000-000094010000}"/>
    <cellStyle name="Comma 105" xfId="211" xr:uid="{00000000-0005-0000-0000-000095010000}"/>
    <cellStyle name="Comma 105 2" xfId="212" xr:uid="{00000000-0005-0000-0000-000096010000}"/>
    <cellStyle name="Comma 105 2 2" xfId="1563" xr:uid="{00000000-0005-0000-0000-000097010000}"/>
    <cellStyle name="Comma 105 3" xfId="1562" xr:uid="{00000000-0005-0000-0000-000098010000}"/>
    <cellStyle name="Comma 106" xfId="213" xr:uid="{00000000-0005-0000-0000-000099010000}"/>
    <cellStyle name="Comma 106 2" xfId="214" xr:uid="{00000000-0005-0000-0000-00009A010000}"/>
    <cellStyle name="Comma 106 2 2" xfId="1565" xr:uid="{00000000-0005-0000-0000-00009B010000}"/>
    <cellStyle name="Comma 106 3" xfId="1564" xr:uid="{00000000-0005-0000-0000-00009C010000}"/>
    <cellStyle name="Comma 107" xfId="215" xr:uid="{00000000-0005-0000-0000-00009D010000}"/>
    <cellStyle name="Comma 107 2" xfId="216" xr:uid="{00000000-0005-0000-0000-00009E010000}"/>
    <cellStyle name="Comma 107 2 2" xfId="1567" xr:uid="{00000000-0005-0000-0000-00009F010000}"/>
    <cellStyle name="Comma 107 3" xfId="1566" xr:uid="{00000000-0005-0000-0000-0000A0010000}"/>
    <cellStyle name="Comma 108" xfId="217" xr:uid="{00000000-0005-0000-0000-0000A1010000}"/>
    <cellStyle name="Comma 108 2" xfId="218" xr:uid="{00000000-0005-0000-0000-0000A2010000}"/>
    <cellStyle name="Comma 108 2 2" xfId="1569" xr:uid="{00000000-0005-0000-0000-0000A3010000}"/>
    <cellStyle name="Comma 108 3" xfId="1568" xr:uid="{00000000-0005-0000-0000-0000A4010000}"/>
    <cellStyle name="Comma 109" xfId="219" xr:uid="{00000000-0005-0000-0000-0000A5010000}"/>
    <cellStyle name="Comma 109 2" xfId="1570" xr:uid="{00000000-0005-0000-0000-0000A6010000}"/>
    <cellStyle name="Comma 11" xfId="220" xr:uid="{00000000-0005-0000-0000-0000A7010000}"/>
    <cellStyle name="Comma 11 2" xfId="1328" xr:uid="{00000000-0005-0000-0000-0000A8010000}"/>
    <cellStyle name="Comma 11 3" xfId="1327" xr:uid="{00000000-0005-0000-0000-0000A9010000}"/>
    <cellStyle name="Comma 11 4" xfId="1571" xr:uid="{00000000-0005-0000-0000-0000AA010000}"/>
    <cellStyle name="Comma 110" xfId="221" xr:uid="{00000000-0005-0000-0000-0000AB010000}"/>
    <cellStyle name="Comma 110 2" xfId="1184" xr:uid="{00000000-0005-0000-0000-0000AC010000}"/>
    <cellStyle name="Comma 111" xfId="222" xr:uid="{00000000-0005-0000-0000-0000AD010000}"/>
    <cellStyle name="Comma 111 2" xfId="1572" xr:uid="{00000000-0005-0000-0000-0000AE010000}"/>
    <cellStyle name="Comma 112" xfId="223" xr:uid="{00000000-0005-0000-0000-0000AF010000}"/>
    <cellStyle name="Comma 112 2" xfId="224" xr:uid="{00000000-0005-0000-0000-0000B0010000}"/>
    <cellStyle name="Comma 112 2 2" xfId="1574" xr:uid="{00000000-0005-0000-0000-0000B1010000}"/>
    <cellStyle name="Comma 112 3" xfId="1573" xr:uid="{00000000-0005-0000-0000-0000B2010000}"/>
    <cellStyle name="Comma 113" xfId="225" xr:uid="{00000000-0005-0000-0000-0000B3010000}"/>
    <cellStyle name="Comma 113 2" xfId="226" xr:uid="{00000000-0005-0000-0000-0000B4010000}"/>
    <cellStyle name="Comma 113 2 2" xfId="1576" xr:uid="{00000000-0005-0000-0000-0000B5010000}"/>
    <cellStyle name="Comma 113 3" xfId="1575" xr:uid="{00000000-0005-0000-0000-0000B6010000}"/>
    <cellStyle name="Comma 114" xfId="227" xr:uid="{00000000-0005-0000-0000-0000B7010000}"/>
    <cellStyle name="Comma 114 2" xfId="228" xr:uid="{00000000-0005-0000-0000-0000B8010000}"/>
    <cellStyle name="Comma 114 2 2" xfId="1578" xr:uid="{00000000-0005-0000-0000-0000B9010000}"/>
    <cellStyle name="Comma 114 3" xfId="1577" xr:uid="{00000000-0005-0000-0000-0000BA010000}"/>
    <cellStyle name="Comma 115" xfId="229" xr:uid="{00000000-0005-0000-0000-0000BB010000}"/>
    <cellStyle name="Comma 115 2" xfId="230" xr:uid="{00000000-0005-0000-0000-0000BC010000}"/>
    <cellStyle name="Comma 115 2 2" xfId="1580" xr:uid="{00000000-0005-0000-0000-0000BD010000}"/>
    <cellStyle name="Comma 115 3" xfId="1579" xr:uid="{00000000-0005-0000-0000-0000BE010000}"/>
    <cellStyle name="Comma 116" xfId="231" xr:uid="{00000000-0005-0000-0000-0000BF010000}"/>
    <cellStyle name="Comma 116 2" xfId="232" xr:uid="{00000000-0005-0000-0000-0000C0010000}"/>
    <cellStyle name="Comma 116 2 2" xfId="1581" xr:uid="{00000000-0005-0000-0000-0000C1010000}"/>
    <cellStyle name="Comma 116 3" xfId="1529" xr:uid="{00000000-0005-0000-0000-0000C2010000}"/>
    <cellStyle name="Comma 117" xfId="233" xr:uid="{00000000-0005-0000-0000-0000C3010000}"/>
    <cellStyle name="Comma 117 2" xfId="234" xr:uid="{00000000-0005-0000-0000-0000C4010000}"/>
    <cellStyle name="Comma 117 2 2" xfId="1582" xr:uid="{00000000-0005-0000-0000-0000C5010000}"/>
    <cellStyle name="Comma 117 3" xfId="1530" xr:uid="{00000000-0005-0000-0000-0000C6010000}"/>
    <cellStyle name="Comma 118" xfId="235" xr:uid="{00000000-0005-0000-0000-0000C7010000}"/>
    <cellStyle name="Comma 118 2" xfId="236" xr:uid="{00000000-0005-0000-0000-0000C8010000}"/>
    <cellStyle name="Comma 118 2 2" xfId="1583" xr:uid="{00000000-0005-0000-0000-0000C9010000}"/>
    <cellStyle name="Comma 118 3" xfId="1531" xr:uid="{00000000-0005-0000-0000-0000CA010000}"/>
    <cellStyle name="Comma 119" xfId="237" xr:uid="{00000000-0005-0000-0000-0000CB010000}"/>
    <cellStyle name="Comma 119 2" xfId="238" xr:uid="{00000000-0005-0000-0000-0000CC010000}"/>
    <cellStyle name="Comma 119 2 2" xfId="1585" xr:uid="{00000000-0005-0000-0000-0000CD010000}"/>
    <cellStyle name="Comma 119 3" xfId="1584" xr:uid="{00000000-0005-0000-0000-0000CE010000}"/>
    <cellStyle name="Comma 12" xfId="239" xr:uid="{00000000-0005-0000-0000-0000CF010000}"/>
    <cellStyle name="Comma 12 2" xfId="240" xr:uid="{00000000-0005-0000-0000-0000D0010000}"/>
    <cellStyle name="Comma 12 2 2" xfId="241" xr:uid="{00000000-0005-0000-0000-0000D1010000}"/>
    <cellStyle name="Comma 12 2 3" xfId="242" xr:uid="{00000000-0005-0000-0000-0000D2010000}"/>
    <cellStyle name="Comma 12 2 4" xfId="1156" xr:uid="{00000000-0005-0000-0000-0000D3010000}"/>
    <cellStyle name="Comma 12 2 4 2" xfId="2121" xr:uid="{00000000-0005-0000-0000-0000D4010000}"/>
    <cellStyle name="Comma 12 2 5" xfId="1330" xr:uid="{00000000-0005-0000-0000-0000D5010000}"/>
    <cellStyle name="Comma 12 3" xfId="1329" xr:uid="{00000000-0005-0000-0000-0000D6010000}"/>
    <cellStyle name="Comma 12 4" xfId="1586" xr:uid="{00000000-0005-0000-0000-0000D7010000}"/>
    <cellStyle name="Comma 12 5" xfId="2185" xr:uid="{00000000-0005-0000-0000-0000D8010000}"/>
    <cellStyle name="Comma 120" xfId="243" xr:uid="{00000000-0005-0000-0000-0000D9010000}"/>
    <cellStyle name="Comma 120 2" xfId="244" xr:uid="{00000000-0005-0000-0000-0000DA010000}"/>
    <cellStyle name="Comma 120 2 2" xfId="1588" xr:uid="{00000000-0005-0000-0000-0000DB010000}"/>
    <cellStyle name="Comma 120 3" xfId="1587" xr:uid="{00000000-0005-0000-0000-0000DC010000}"/>
    <cellStyle name="Comma 121" xfId="245" xr:uid="{00000000-0005-0000-0000-0000DD010000}"/>
    <cellStyle name="Comma 121 2" xfId="246" xr:uid="{00000000-0005-0000-0000-0000DE010000}"/>
    <cellStyle name="Comma 121 2 2" xfId="1590" xr:uid="{00000000-0005-0000-0000-0000DF010000}"/>
    <cellStyle name="Comma 121 3" xfId="1589" xr:uid="{00000000-0005-0000-0000-0000E0010000}"/>
    <cellStyle name="Comma 122" xfId="247" xr:uid="{00000000-0005-0000-0000-0000E1010000}"/>
    <cellStyle name="Comma 122 2" xfId="248" xr:uid="{00000000-0005-0000-0000-0000E2010000}"/>
    <cellStyle name="Comma 122 2 2" xfId="1592" xr:uid="{00000000-0005-0000-0000-0000E3010000}"/>
    <cellStyle name="Comma 122 3" xfId="1591" xr:uid="{00000000-0005-0000-0000-0000E4010000}"/>
    <cellStyle name="Comma 123" xfId="249" xr:uid="{00000000-0005-0000-0000-0000E5010000}"/>
    <cellStyle name="Comma 123 2" xfId="250" xr:uid="{00000000-0005-0000-0000-0000E6010000}"/>
    <cellStyle name="Comma 123 2 2" xfId="1594" xr:uid="{00000000-0005-0000-0000-0000E7010000}"/>
    <cellStyle name="Comma 123 3" xfId="1593" xr:uid="{00000000-0005-0000-0000-0000E8010000}"/>
    <cellStyle name="Comma 124" xfId="251" xr:uid="{00000000-0005-0000-0000-0000E9010000}"/>
    <cellStyle name="Comma 124 2" xfId="252" xr:uid="{00000000-0005-0000-0000-0000EA010000}"/>
    <cellStyle name="Comma 124 2 2" xfId="1596" xr:uid="{00000000-0005-0000-0000-0000EB010000}"/>
    <cellStyle name="Comma 124 3" xfId="1595" xr:uid="{00000000-0005-0000-0000-0000EC010000}"/>
    <cellStyle name="Comma 125" xfId="253" xr:uid="{00000000-0005-0000-0000-0000ED010000}"/>
    <cellStyle name="Comma 125 2" xfId="254" xr:uid="{00000000-0005-0000-0000-0000EE010000}"/>
    <cellStyle name="Comma 125 2 2" xfId="1598" xr:uid="{00000000-0005-0000-0000-0000EF010000}"/>
    <cellStyle name="Comma 125 3" xfId="1597" xr:uid="{00000000-0005-0000-0000-0000F0010000}"/>
    <cellStyle name="Comma 126" xfId="255" xr:uid="{00000000-0005-0000-0000-0000F1010000}"/>
    <cellStyle name="Comma 126 2" xfId="256" xr:uid="{00000000-0005-0000-0000-0000F2010000}"/>
    <cellStyle name="Comma 126 2 2" xfId="1600" xr:uid="{00000000-0005-0000-0000-0000F3010000}"/>
    <cellStyle name="Comma 126 3" xfId="1599" xr:uid="{00000000-0005-0000-0000-0000F4010000}"/>
    <cellStyle name="Comma 127" xfId="257" xr:uid="{00000000-0005-0000-0000-0000F5010000}"/>
    <cellStyle name="Comma 127 2" xfId="258" xr:uid="{00000000-0005-0000-0000-0000F6010000}"/>
    <cellStyle name="Comma 127 2 2" xfId="1602" xr:uid="{00000000-0005-0000-0000-0000F7010000}"/>
    <cellStyle name="Comma 127 3" xfId="1601" xr:uid="{00000000-0005-0000-0000-0000F8010000}"/>
    <cellStyle name="Comma 128" xfId="259" xr:uid="{00000000-0005-0000-0000-0000F9010000}"/>
    <cellStyle name="Comma 128 2" xfId="260" xr:uid="{00000000-0005-0000-0000-0000FA010000}"/>
    <cellStyle name="Comma 128 2 2" xfId="1604" xr:uid="{00000000-0005-0000-0000-0000FB010000}"/>
    <cellStyle name="Comma 128 3" xfId="1603" xr:uid="{00000000-0005-0000-0000-0000FC010000}"/>
    <cellStyle name="Comma 129" xfId="261" xr:uid="{00000000-0005-0000-0000-0000FD010000}"/>
    <cellStyle name="Comma 129 2" xfId="262" xr:uid="{00000000-0005-0000-0000-0000FE010000}"/>
    <cellStyle name="Comma 129 2 2" xfId="1606" xr:uid="{00000000-0005-0000-0000-0000FF010000}"/>
    <cellStyle name="Comma 129 3" xfId="1605" xr:uid="{00000000-0005-0000-0000-000000020000}"/>
    <cellStyle name="Comma 13" xfId="263" xr:uid="{00000000-0005-0000-0000-000001020000}"/>
    <cellStyle name="Comma 13 2" xfId="1331" xr:uid="{00000000-0005-0000-0000-000002020000}"/>
    <cellStyle name="Comma 13 3" xfId="1607" xr:uid="{00000000-0005-0000-0000-000003020000}"/>
    <cellStyle name="Comma 130" xfId="264" xr:uid="{00000000-0005-0000-0000-000004020000}"/>
    <cellStyle name="Comma 130 2" xfId="265" xr:uid="{00000000-0005-0000-0000-000005020000}"/>
    <cellStyle name="Comma 130 2 2" xfId="1609" xr:uid="{00000000-0005-0000-0000-000006020000}"/>
    <cellStyle name="Comma 130 3" xfId="1608" xr:uid="{00000000-0005-0000-0000-000007020000}"/>
    <cellStyle name="Comma 131" xfId="266" xr:uid="{00000000-0005-0000-0000-000008020000}"/>
    <cellStyle name="Comma 131 2" xfId="1610" xr:uid="{00000000-0005-0000-0000-000009020000}"/>
    <cellStyle name="Comma 132" xfId="267" xr:uid="{00000000-0005-0000-0000-00000A020000}"/>
    <cellStyle name="Comma 132 2" xfId="1611" xr:uid="{00000000-0005-0000-0000-00000B020000}"/>
    <cellStyle name="Comma 133" xfId="268" xr:uid="{00000000-0005-0000-0000-00000C020000}"/>
    <cellStyle name="Comma 133 2" xfId="1612" xr:uid="{00000000-0005-0000-0000-00000D020000}"/>
    <cellStyle name="Comma 134" xfId="1155" xr:uid="{00000000-0005-0000-0000-00000E020000}"/>
    <cellStyle name="Comma 134 2" xfId="2120" xr:uid="{00000000-0005-0000-0000-00000F020000}"/>
    <cellStyle name="Comma 135" xfId="1165" xr:uid="{00000000-0005-0000-0000-000010020000}"/>
    <cellStyle name="Comma 135 2" xfId="2130" xr:uid="{00000000-0005-0000-0000-000011020000}"/>
    <cellStyle name="Comma 136" xfId="1199" xr:uid="{00000000-0005-0000-0000-000012020000}"/>
    <cellStyle name="Comma 136 2" xfId="2151" xr:uid="{00000000-0005-0000-0000-000013020000}"/>
    <cellStyle name="Comma 137" xfId="1440" xr:uid="{00000000-0005-0000-0000-000014020000}"/>
    <cellStyle name="Comma 137 2" xfId="2163" xr:uid="{00000000-0005-0000-0000-000015020000}"/>
    <cellStyle name="Comma 138" xfId="1527" xr:uid="{00000000-0005-0000-0000-000016020000}"/>
    <cellStyle name="Comma 138 2" xfId="2167" xr:uid="{00000000-0005-0000-0000-000017020000}"/>
    <cellStyle name="Comma 139" xfId="1510" xr:uid="{00000000-0005-0000-0000-000018020000}"/>
    <cellStyle name="Comma 139 2" xfId="2164" xr:uid="{00000000-0005-0000-0000-000019020000}"/>
    <cellStyle name="Comma 14" xfId="269" xr:uid="{00000000-0005-0000-0000-00001A020000}"/>
    <cellStyle name="Comma 14 2" xfId="1332" xr:uid="{00000000-0005-0000-0000-00001B020000}"/>
    <cellStyle name="Comma 14 3" xfId="1613" xr:uid="{00000000-0005-0000-0000-00001C020000}"/>
    <cellStyle name="Comma 140" xfId="1537" xr:uid="{00000000-0005-0000-0000-00001D020000}"/>
    <cellStyle name="Comma 141" xfId="2176" xr:uid="{00000000-0005-0000-0000-00001E020000}"/>
    <cellStyle name="Comma 142" xfId="2182" xr:uid="{00000000-0005-0000-0000-00001F020000}"/>
    <cellStyle name="Comma 15" xfId="270" xr:uid="{00000000-0005-0000-0000-000020020000}"/>
    <cellStyle name="Comma 15 2" xfId="1333" xr:uid="{00000000-0005-0000-0000-000021020000}"/>
    <cellStyle name="Comma 15 3" xfId="1614" xr:uid="{00000000-0005-0000-0000-000022020000}"/>
    <cellStyle name="Comma 16" xfId="271" xr:uid="{00000000-0005-0000-0000-000023020000}"/>
    <cellStyle name="Comma 16 2" xfId="1334" xr:uid="{00000000-0005-0000-0000-000024020000}"/>
    <cellStyle name="Comma 16 3" xfId="1615" xr:uid="{00000000-0005-0000-0000-000025020000}"/>
    <cellStyle name="Comma 17" xfId="272" xr:uid="{00000000-0005-0000-0000-000026020000}"/>
    <cellStyle name="Comma 17 2" xfId="1335" xr:uid="{00000000-0005-0000-0000-000027020000}"/>
    <cellStyle name="Comma 17 3" xfId="1616" xr:uid="{00000000-0005-0000-0000-000028020000}"/>
    <cellStyle name="Comma 18" xfId="273" xr:uid="{00000000-0005-0000-0000-000029020000}"/>
    <cellStyle name="Comma 18 2" xfId="1336" xr:uid="{00000000-0005-0000-0000-00002A020000}"/>
    <cellStyle name="Comma 18 3" xfId="1617" xr:uid="{00000000-0005-0000-0000-00002B020000}"/>
    <cellStyle name="Comma 19" xfId="274" xr:uid="{00000000-0005-0000-0000-00002C020000}"/>
    <cellStyle name="Comma 19 2" xfId="1337" xr:uid="{00000000-0005-0000-0000-00002D020000}"/>
    <cellStyle name="Comma 19 3" xfId="1618" xr:uid="{00000000-0005-0000-0000-00002E020000}"/>
    <cellStyle name="Comma 2" xfId="275" xr:uid="{00000000-0005-0000-0000-00002F020000}"/>
    <cellStyle name="Comma 2 2" xfId="276" xr:uid="{00000000-0005-0000-0000-000030020000}"/>
    <cellStyle name="Comma 2 2 2" xfId="277" xr:uid="{00000000-0005-0000-0000-000031020000}"/>
    <cellStyle name="Comma 2 2 2 2" xfId="1619" xr:uid="{00000000-0005-0000-0000-000032020000}"/>
    <cellStyle name="Comma 2 2 3" xfId="1201" xr:uid="{00000000-0005-0000-0000-000033020000}"/>
    <cellStyle name="Comma 2 3" xfId="278" xr:uid="{00000000-0005-0000-0000-000034020000}"/>
    <cellStyle name="Comma 2 3 2" xfId="279" xr:uid="{00000000-0005-0000-0000-000035020000}"/>
    <cellStyle name="Comma 2 3 2 2" xfId="1620" xr:uid="{00000000-0005-0000-0000-000036020000}"/>
    <cellStyle name="Comma 2 3 3" xfId="280" xr:uid="{00000000-0005-0000-0000-000037020000}"/>
    <cellStyle name="Comma 2 3 3 2" xfId="1621" xr:uid="{00000000-0005-0000-0000-000038020000}"/>
    <cellStyle name="Comma 2 3 4" xfId="281" xr:uid="{00000000-0005-0000-0000-000039020000}"/>
    <cellStyle name="Comma 2 3 5" xfId="1524" xr:uid="{00000000-0005-0000-0000-00003A020000}"/>
    <cellStyle name="Comma 2 4" xfId="282" xr:uid="{00000000-0005-0000-0000-00003B020000}"/>
    <cellStyle name="Comma 2 4 2" xfId="1622" xr:uid="{00000000-0005-0000-0000-00003C020000}"/>
    <cellStyle name="Comma 2 5" xfId="1175" xr:uid="{00000000-0005-0000-0000-00003D020000}"/>
    <cellStyle name="Comma 2 6" xfId="2171" xr:uid="{00000000-0005-0000-0000-00003E020000}"/>
    <cellStyle name="Comma 20" xfId="283" xr:uid="{00000000-0005-0000-0000-00003F020000}"/>
    <cellStyle name="Comma 20 2" xfId="1338" xr:uid="{00000000-0005-0000-0000-000040020000}"/>
    <cellStyle name="Comma 20 3" xfId="1623" xr:uid="{00000000-0005-0000-0000-000041020000}"/>
    <cellStyle name="Comma 21" xfId="284" xr:uid="{00000000-0005-0000-0000-000042020000}"/>
    <cellStyle name="Comma 21 2" xfId="1340" xr:uid="{00000000-0005-0000-0000-000043020000}"/>
    <cellStyle name="Comma 21 3" xfId="1339" xr:uid="{00000000-0005-0000-0000-000044020000}"/>
    <cellStyle name="Comma 22" xfId="285" xr:uid="{00000000-0005-0000-0000-000045020000}"/>
    <cellStyle name="Comma 22 2" xfId="1341" xr:uid="{00000000-0005-0000-0000-000046020000}"/>
    <cellStyle name="Comma 22 3" xfId="1624" xr:uid="{00000000-0005-0000-0000-000047020000}"/>
    <cellStyle name="Comma 23" xfId="286" xr:uid="{00000000-0005-0000-0000-000048020000}"/>
    <cellStyle name="Comma 23 2" xfId="1342" xr:uid="{00000000-0005-0000-0000-000049020000}"/>
    <cellStyle name="Comma 23 3" xfId="1625" xr:uid="{00000000-0005-0000-0000-00004A020000}"/>
    <cellStyle name="Comma 24" xfId="287" xr:uid="{00000000-0005-0000-0000-00004B020000}"/>
    <cellStyle name="Comma 24 2" xfId="1343" xr:uid="{00000000-0005-0000-0000-00004C020000}"/>
    <cellStyle name="Comma 24 3" xfId="1626" xr:uid="{00000000-0005-0000-0000-00004D020000}"/>
    <cellStyle name="Comma 25" xfId="288" xr:uid="{00000000-0005-0000-0000-00004E020000}"/>
    <cellStyle name="Comma 25 2" xfId="289" xr:uid="{00000000-0005-0000-0000-00004F020000}"/>
    <cellStyle name="Comma 26" xfId="290" xr:uid="{00000000-0005-0000-0000-000050020000}"/>
    <cellStyle name="Comma 26 2" xfId="291" xr:uid="{00000000-0005-0000-0000-000051020000}"/>
    <cellStyle name="Comma 27" xfId="292" xr:uid="{00000000-0005-0000-0000-000052020000}"/>
    <cellStyle name="Comma 27 2" xfId="293" xr:uid="{00000000-0005-0000-0000-000053020000}"/>
    <cellStyle name="Comma 28" xfId="294" xr:uid="{00000000-0005-0000-0000-000054020000}"/>
    <cellStyle name="Comma 28 2" xfId="295" xr:uid="{00000000-0005-0000-0000-000055020000}"/>
    <cellStyle name="Comma 29" xfId="296" xr:uid="{00000000-0005-0000-0000-000056020000}"/>
    <cellStyle name="Comma 29 2" xfId="297" xr:uid="{00000000-0005-0000-0000-000057020000}"/>
    <cellStyle name="Comma 3" xfId="298" xr:uid="{00000000-0005-0000-0000-000058020000}"/>
    <cellStyle name="Comma 3 10" xfId="299" xr:uid="{00000000-0005-0000-0000-000059020000}"/>
    <cellStyle name="Comma 3 10 2" xfId="300" xr:uid="{00000000-0005-0000-0000-00005A020000}"/>
    <cellStyle name="Comma 3 10 2 2" xfId="1628" xr:uid="{00000000-0005-0000-0000-00005B020000}"/>
    <cellStyle name="Comma 3 10 3" xfId="301" xr:uid="{00000000-0005-0000-0000-00005C020000}"/>
    <cellStyle name="Comma 3 10 3 2" xfId="1629" xr:uid="{00000000-0005-0000-0000-00005D020000}"/>
    <cellStyle name="Comma 3 10 4" xfId="1627" xr:uid="{00000000-0005-0000-0000-00005E020000}"/>
    <cellStyle name="Comma 3 11" xfId="302" xr:uid="{00000000-0005-0000-0000-00005F020000}"/>
    <cellStyle name="Comma 3 11 2" xfId="303" xr:uid="{00000000-0005-0000-0000-000060020000}"/>
    <cellStyle name="Comma 3 11 2 2" xfId="1631" xr:uid="{00000000-0005-0000-0000-000061020000}"/>
    <cellStyle name="Comma 3 11 3" xfId="1630" xr:uid="{00000000-0005-0000-0000-000062020000}"/>
    <cellStyle name="Comma 3 12" xfId="304" xr:uid="{00000000-0005-0000-0000-000063020000}"/>
    <cellStyle name="Comma 3 12 2" xfId="305" xr:uid="{00000000-0005-0000-0000-000064020000}"/>
    <cellStyle name="Comma 3 12 2 2" xfId="1633" xr:uid="{00000000-0005-0000-0000-000065020000}"/>
    <cellStyle name="Comma 3 12 3" xfId="1632" xr:uid="{00000000-0005-0000-0000-000066020000}"/>
    <cellStyle name="Comma 3 13" xfId="306" xr:uid="{00000000-0005-0000-0000-000067020000}"/>
    <cellStyle name="Comma 3 13 2" xfId="307" xr:uid="{00000000-0005-0000-0000-000068020000}"/>
    <cellStyle name="Comma 3 13 2 2" xfId="1635" xr:uid="{00000000-0005-0000-0000-000069020000}"/>
    <cellStyle name="Comma 3 13 3" xfId="1634" xr:uid="{00000000-0005-0000-0000-00006A020000}"/>
    <cellStyle name="Comma 3 14" xfId="308" xr:uid="{00000000-0005-0000-0000-00006B020000}"/>
    <cellStyle name="Comma 3 14 2" xfId="1636" xr:uid="{00000000-0005-0000-0000-00006C020000}"/>
    <cellStyle name="Comma 3 2" xfId="309" xr:uid="{00000000-0005-0000-0000-00006D020000}"/>
    <cellStyle name="Comma 3 2 2" xfId="310" xr:uid="{00000000-0005-0000-0000-00006E020000}"/>
    <cellStyle name="Comma 3 2 2 2" xfId="1637" xr:uid="{00000000-0005-0000-0000-00006F020000}"/>
    <cellStyle name="Comma 3 2 3" xfId="1344" xr:uid="{00000000-0005-0000-0000-000070020000}"/>
    <cellStyle name="Comma 3 3" xfId="311" xr:uid="{00000000-0005-0000-0000-000071020000}"/>
    <cellStyle name="Comma 3 3 2" xfId="312" xr:uid="{00000000-0005-0000-0000-000072020000}"/>
    <cellStyle name="Comma 3 3 2 2" xfId="313" xr:uid="{00000000-0005-0000-0000-000073020000}"/>
    <cellStyle name="Comma 3 3 2 2 2" xfId="1639" xr:uid="{00000000-0005-0000-0000-000074020000}"/>
    <cellStyle name="Comma 3 3 2 3" xfId="314" xr:uid="{00000000-0005-0000-0000-000075020000}"/>
    <cellStyle name="Comma 3 3 2 3 2" xfId="1640" xr:uid="{00000000-0005-0000-0000-000076020000}"/>
    <cellStyle name="Comma 3 3 2 4" xfId="1638" xr:uid="{00000000-0005-0000-0000-000077020000}"/>
    <cellStyle name="Comma 3 3 3" xfId="315" xr:uid="{00000000-0005-0000-0000-000078020000}"/>
    <cellStyle name="Comma 3 3 3 2" xfId="316" xr:uid="{00000000-0005-0000-0000-000079020000}"/>
    <cellStyle name="Comma 3 3 3 2 2" xfId="317" xr:uid="{00000000-0005-0000-0000-00007A020000}"/>
    <cellStyle name="Comma 3 3 3 2 2 2" xfId="1643" xr:uid="{00000000-0005-0000-0000-00007B020000}"/>
    <cellStyle name="Comma 3 3 3 2 3" xfId="318" xr:uid="{00000000-0005-0000-0000-00007C020000}"/>
    <cellStyle name="Comma 3 3 3 2 3 2" xfId="1644" xr:uid="{00000000-0005-0000-0000-00007D020000}"/>
    <cellStyle name="Comma 3 3 3 2 4" xfId="319" xr:uid="{00000000-0005-0000-0000-00007E020000}"/>
    <cellStyle name="Comma 3 3 3 2 4 2" xfId="1645" xr:uid="{00000000-0005-0000-0000-00007F020000}"/>
    <cellStyle name="Comma 3 3 3 2 5" xfId="320" xr:uid="{00000000-0005-0000-0000-000080020000}"/>
    <cellStyle name="Comma 3 3 3 2 5 2" xfId="1646" xr:uid="{00000000-0005-0000-0000-000081020000}"/>
    <cellStyle name="Comma 3 3 3 2 6" xfId="1642" xr:uid="{00000000-0005-0000-0000-000082020000}"/>
    <cellStyle name="Comma 3 3 3 3" xfId="321" xr:uid="{00000000-0005-0000-0000-000083020000}"/>
    <cellStyle name="Comma 3 3 3 3 2" xfId="1647" xr:uid="{00000000-0005-0000-0000-000084020000}"/>
    <cellStyle name="Comma 3 3 3 4" xfId="1641" xr:uid="{00000000-0005-0000-0000-000085020000}"/>
    <cellStyle name="Comma 3 3 4" xfId="322" xr:uid="{00000000-0005-0000-0000-000086020000}"/>
    <cellStyle name="Comma 3 3 4 2" xfId="1648" xr:uid="{00000000-0005-0000-0000-000087020000}"/>
    <cellStyle name="Comma 3 3 5" xfId="323" xr:uid="{00000000-0005-0000-0000-000088020000}"/>
    <cellStyle name="Comma 3 3 5 2" xfId="324" xr:uid="{00000000-0005-0000-0000-000089020000}"/>
    <cellStyle name="Comma 3 3 5 2 2" xfId="1650" xr:uid="{00000000-0005-0000-0000-00008A020000}"/>
    <cellStyle name="Comma 3 3 5 3" xfId="325" xr:uid="{00000000-0005-0000-0000-00008B020000}"/>
    <cellStyle name="Comma 3 3 5 3 2" xfId="1651" xr:uid="{00000000-0005-0000-0000-00008C020000}"/>
    <cellStyle name="Comma 3 3 5 4" xfId="326" xr:uid="{00000000-0005-0000-0000-00008D020000}"/>
    <cellStyle name="Comma 3 3 5 4 2" xfId="1652" xr:uid="{00000000-0005-0000-0000-00008E020000}"/>
    <cellStyle name="Comma 3 3 5 5" xfId="327" xr:uid="{00000000-0005-0000-0000-00008F020000}"/>
    <cellStyle name="Comma 3 3 5 5 2" xfId="1653" xr:uid="{00000000-0005-0000-0000-000090020000}"/>
    <cellStyle name="Comma 3 3 5 6" xfId="1649" xr:uid="{00000000-0005-0000-0000-000091020000}"/>
    <cellStyle name="Comma 3 3 6" xfId="328" xr:uid="{00000000-0005-0000-0000-000092020000}"/>
    <cellStyle name="Comma 3 3 6 2" xfId="1654" xr:uid="{00000000-0005-0000-0000-000093020000}"/>
    <cellStyle name="Comma 3 3 7" xfId="1183" xr:uid="{00000000-0005-0000-0000-000094020000}"/>
    <cellStyle name="Comma 3 4" xfId="329" xr:uid="{00000000-0005-0000-0000-000095020000}"/>
    <cellStyle name="Comma 3 4 2" xfId="330" xr:uid="{00000000-0005-0000-0000-000096020000}"/>
    <cellStyle name="Comma 3 4 2 2" xfId="1655" xr:uid="{00000000-0005-0000-0000-000097020000}"/>
    <cellStyle name="Comma 3 4 3" xfId="331" xr:uid="{00000000-0005-0000-0000-000098020000}"/>
    <cellStyle name="Comma 3 4 3 2" xfId="1656" xr:uid="{00000000-0005-0000-0000-000099020000}"/>
    <cellStyle name="Comma 3 4 4" xfId="332" xr:uid="{00000000-0005-0000-0000-00009A020000}"/>
    <cellStyle name="Comma 3 4 4 2" xfId="333" xr:uid="{00000000-0005-0000-0000-00009B020000}"/>
    <cellStyle name="Comma 3 4 4 2 2" xfId="1658" xr:uid="{00000000-0005-0000-0000-00009C020000}"/>
    <cellStyle name="Comma 3 4 4 3" xfId="334" xr:uid="{00000000-0005-0000-0000-00009D020000}"/>
    <cellStyle name="Comma 3 4 4 3 2" xfId="1659" xr:uid="{00000000-0005-0000-0000-00009E020000}"/>
    <cellStyle name="Comma 3 4 4 4" xfId="335" xr:uid="{00000000-0005-0000-0000-00009F020000}"/>
    <cellStyle name="Comma 3 4 4 4 2" xfId="1660" xr:uid="{00000000-0005-0000-0000-0000A0020000}"/>
    <cellStyle name="Comma 3 4 4 5" xfId="336" xr:uid="{00000000-0005-0000-0000-0000A1020000}"/>
    <cellStyle name="Comma 3 4 4 5 2" xfId="1661" xr:uid="{00000000-0005-0000-0000-0000A2020000}"/>
    <cellStyle name="Comma 3 4 4 6" xfId="1657" xr:uid="{00000000-0005-0000-0000-0000A3020000}"/>
    <cellStyle name="Comma 3 4 5" xfId="337" xr:uid="{00000000-0005-0000-0000-0000A4020000}"/>
    <cellStyle name="Comma 3 4 5 2" xfId="1662" xr:uid="{00000000-0005-0000-0000-0000A5020000}"/>
    <cellStyle name="Comma 3 4 6" xfId="1525" xr:uid="{00000000-0005-0000-0000-0000A6020000}"/>
    <cellStyle name="Comma 3 5" xfId="338" xr:uid="{00000000-0005-0000-0000-0000A7020000}"/>
    <cellStyle name="Comma 3 5 2" xfId="339" xr:uid="{00000000-0005-0000-0000-0000A8020000}"/>
    <cellStyle name="Comma 3 5 2 2" xfId="1664" xr:uid="{00000000-0005-0000-0000-0000A9020000}"/>
    <cellStyle name="Comma 3 5 3" xfId="340" xr:uid="{00000000-0005-0000-0000-0000AA020000}"/>
    <cellStyle name="Comma 3 5 3 2" xfId="341" xr:uid="{00000000-0005-0000-0000-0000AB020000}"/>
    <cellStyle name="Comma 3 5 3 2 2" xfId="1666" xr:uid="{00000000-0005-0000-0000-0000AC020000}"/>
    <cellStyle name="Comma 3 5 3 3" xfId="342" xr:uid="{00000000-0005-0000-0000-0000AD020000}"/>
    <cellStyle name="Comma 3 5 3 3 2" xfId="1667" xr:uid="{00000000-0005-0000-0000-0000AE020000}"/>
    <cellStyle name="Comma 3 5 3 4" xfId="1665" xr:uid="{00000000-0005-0000-0000-0000AF020000}"/>
    <cellStyle name="Comma 3 5 4" xfId="1663" xr:uid="{00000000-0005-0000-0000-0000B0020000}"/>
    <cellStyle name="Comma 3 6" xfId="343" xr:uid="{00000000-0005-0000-0000-0000B1020000}"/>
    <cellStyle name="Comma 3 6 2" xfId="1126" xr:uid="{00000000-0005-0000-0000-0000B2020000}"/>
    <cellStyle name="Comma 3 6 2 2" xfId="2093" xr:uid="{00000000-0005-0000-0000-0000B3020000}"/>
    <cellStyle name="Comma 3 6 3" xfId="1668" xr:uid="{00000000-0005-0000-0000-0000B4020000}"/>
    <cellStyle name="Comma 3 7" xfId="344" xr:uid="{00000000-0005-0000-0000-0000B5020000}"/>
    <cellStyle name="Comma 3 7 2" xfId="1127" xr:uid="{00000000-0005-0000-0000-0000B6020000}"/>
    <cellStyle name="Comma 3 7 2 2" xfId="2094" xr:uid="{00000000-0005-0000-0000-0000B7020000}"/>
    <cellStyle name="Comma 3 7 3" xfId="1669" xr:uid="{00000000-0005-0000-0000-0000B8020000}"/>
    <cellStyle name="Comma 3 8" xfId="345" xr:uid="{00000000-0005-0000-0000-0000B9020000}"/>
    <cellStyle name="Comma 3 8 2" xfId="1670" xr:uid="{00000000-0005-0000-0000-0000BA020000}"/>
    <cellStyle name="Comma 3 9" xfId="346" xr:uid="{00000000-0005-0000-0000-0000BB020000}"/>
    <cellStyle name="Comma 3 9 2" xfId="1671" xr:uid="{00000000-0005-0000-0000-0000BC020000}"/>
    <cellStyle name="Comma 30" xfId="347" xr:uid="{00000000-0005-0000-0000-0000BD020000}"/>
    <cellStyle name="Comma 30 2" xfId="1346" xr:uid="{00000000-0005-0000-0000-0000BE020000}"/>
    <cellStyle name="Comma 30 3" xfId="1345" xr:uid="{00000000-0005-0000-0000-0000BF020000}"/>
    <cellStyle name="Comma 31" xfId="348" xr:uid="{00000000-0005-0000-0000-0000C0020000}"/>
    <cellStyle name="Comma 31 2" xfId="1348" xr:uid="{00000000-0005-0000-0000-0000C1020000}"/>
    <cellStyle name="Comma 31 3" xfId="1347" xr:uid="{00000000-0005-0000-0000-0000C2020000}"/>
    <cellStyle name="Comma 32" xfId="349" xr:uid="{00000000-0005-0000-0000-0000C3020000}"/>
    <cellStyle name="Comma 33" xfId="350" xr:uid="{00000000-0005-0000-0000-0000C4020000}"/>
    <cellStyle name="Comma 34" xfId="351" xr:uid="{00000000-0005-0000-0000-0000C5020000}"/>
    <cellStyle name="Comma 34 2" xfId="1350" xr:uid="{00000000-0005-0000-0000-0000C6020000}"/>
    <cellStyle name="Comma 34 3" xfId="1349" xr:uid="{00000000-0005-0000-0000-0000C7020000}"/>
    <cellStyle name="Comma 35" xfId="352" xr:uid="{00000000-0005-0000-0000-0000C8020000}"/>
    <cellStyle name="Comma 35 2" xfId="1352" xr:uid="{00000000-0005-0000-0000-0000C9020000}"/>
    <cellStyle name="Comma 35 3" xfId="1351" xr:uid="{00000000-0005-0000-0000-0000CA020000}"/>
    <cellStyle name="Comma 36" xfId="353" xr:uid="{00000000-0005-0000-0000-0000CB020000}"/>
    <cellStyle name="Comma 36 2" xfId="1353" xr:uid="{00000000-0005-0000-0000-0000CC020000}"/>
    <cellStyle name="Comma 37" xfId="354" xr:uid="{00000000-0005-0000-0000-0000CD020000}"/>
    <cellStyle name="Comma 37 2" xfId="1354" xr:uid="{00000000-0005-0000-0000-0000CE020000}"/>
    <cellStyle name="Comma 38" xfId="355" xr:uid="{00000000-0005-0000-0000-0000CF020000}"/>
    <cellStyle name="Comma 38 2" xfId="1211" xr:uid="{00000000-0005-0000-0000-0000D0020000}"/>
    <cellStyle name="Comma 38 2 2" xfId="2157" xr:uid="{00000000-0005-0000-0000-0000D1020000}"/>
    <cellStyle name="Comma 39" xfId="356" xr:uid="{00000000-0005-0000-0000-0000D2020000}"/>
    <cellStyle name="Comma 4" xfId="357" xr:uid="{00000000-0005-0000-0000-0000D3020000}"/>
    <cellStyle name="Comma 4 2" xfId="358" xr:uid="{00000000-0005-0000-0000-0000D4020000}"/>
    <cellStyle name="Comma 4 2 2" xfId="359" xr:uid="{00000000-0005-0000-0000-0000D5020000}"/>
    <cellStyle name="Comma 4 2 2 2" xfId="360" xr:uid="{00000000-0005-0000-0000-0000D6020000}"/>
    <cellStyle name="Comma 4 2 2 2 2" xfId="1672" xr:uid="{00000000-0005-0000-0000-0000D7020000}"/>
    <cellStyle name="Comma 4 2 2 3" xfId="361" xr:uid="{00000000-0005-0000-0000-0000D8020000}"/>
    <cellStyle name="Comma 4 2 2 3 2" xfId="1673" xr:uid="{00000000-0005-0000-0000-0000D9020000}"/>
    <cellStyle name="Comma 4 2 2 4" xfId="362" xr:uid="{00000000-0005-0000-0000-0000DA020000}"/>
    <cellStyle name="Comma 4 2 2 4 2" xfId="1674" xr:uid="{00000000-0005-0000-0000-0000DB020000}"/>
    <cellStyle name="Comma 4 2 2 5" xfId="363" xr:uid="{00000000-0005-0000-0000-0000DC020000}"/>
    <cellStyle name="Comma 4 2 2 5 2" xfId="1675" xr:uid="{00000000-0005-0000-0000-0000DD020000}"/>
    <cellStyle name="Comma 4 2 2 6" xfId="1357" xr:uid="{00000000-0005-0000-0000-0000DE020000}"/>
    <cellStyle name="Comma 4 2 3" xfId="364" xr:uid="{00000000-0005-0000-0000-0000DF020000}"/>
    <cellStyle name="Comma 4 2 3 2" xfId="365" xr:uid="{00000000-0005-0000-0000-0000E0020000}"/>
    <cellStyle name="Comma 4 2 3 2 2" xfId="366" xr:uid="{00000000-0005-0000-0000-0000E1020000}"/>
    <cellStyle name="Comma 4 2 3 3" xfId="367" xr:uid="{00000000-0005-0000-0000-0000E2020000}"/>
    <cellStyle name="Comma 4 2 3 3 2" xfId="368" xr:uid="{00000000-0005-0000-0000-0000E3020000}"/>
    <cellStyle name="Comma 4 2 3 4" xfId="369" xr:uid="{00000000-0005-0000-0000-0000E4020000}"/>
    <cellStyle name="Comma 4 2 4" xfId="370" xr:uid="{00000000-0005-0000-0000-0000E5020000}"/>
    <cellStyle name="Comma 4 2 4 2" xfId="371" xr:uid="{00000000-0005-0000-0000-0000E6020000}"/>
    <cellStyle name="Comma 4 2 4 3" xfId="372" xr:uid="{00000000-0005-0000-0000-0000E7020000}"/>
    <cellStyle name="Comma 4 2 4 4" xfId="373" xr:uid="{00000000-0005-0000-0000-0000E8020000}"/>
    <cellStyle name="Comma 4 2 4 4 2" xfId="1676" xr:uid="{00000000-0005-0000-0000-0000E9020000}"/>
    <cellStyle name="Comma 4 2 5" xfId="374" xr:uid="{00000000-0005-0000-0000-0000EA020000}"/>
    <cellStyle name="Comma 4 2 5 2" xfId="1677" xr:uid="{00000000-0005-0000-0000-0000EB020000}"/>
    <cellStyle name="Comma 4 2 6" xfId="375" xr:uid="{00000000-0005-0000-0000-0000EC020000}"/>
    <cellStyle name="Comma 4 2 6 2" xfId="1678" xr:uid="{00000000-0005-0000-0000-0000ED020000}"/>
    <cellStyle name="Comma 4 2 7" xfId="376" xr:uid="{00000000-0005-0000-0000-0000EE020000}"/>
    <cellStyle name="Comma 4 2 7 2" xfId="1679" xr:uid="{00000000-0005-0000-0000-0000EF020000}"/>
    <cellStyle name="Comma 4 2 8" xfId="1356" xr:uid="{00000000-0005-0000-0000-0000F0020000}"/>
    <cellStyle name="Comma 4 3" xfId="377" xr:uid="{00000000-0005-0000-0000-0000F1020000}"/>
    <cellStyle name="Comma 4 3 2" xfId="378" xr:uid="{00000000-0005-0000-0000-0000F2020000}"/>
    <cellStyle name="Comma 4 3 2 2" xfId="379" xr:uid="{00000000-0005-0000-0000-0000F3020000}"/>
    <cellStyle name="Comma 4 3 2 2 2" xfId="380" xr:uid="{00000000-0005-0000-0000-0000F4020000}"/>
    <cellStyle name="Comma 4 3 2 3" xfId="381" xr:uid="{00000000-0005-0000-0000-0000F5020000}"/>
    <cellStyle name="Comma 4 3 2 3 2" xfId="382" xr:uid="{00000000-0005-0000-0000-0000F6020000}"/>
    <cellStyle name="Comma 4 3 2 4" xfId="383" xr:uid="{00000000-0005-0000-0000-0000F7020000}"/>
    <cellStyle name="Comma 4 3 3" xfId="384" xr:uid="{00000000-0005-0000-0000-0000F8020000}"/>
    <cellStyle name="Comma 4 3 3 2" xfId="1680" xr:uid="{00000000-0005-0000-0000-0000F9020000}"/>
    <cellStyle name="Comma 4 3 4" xfId="385" xr:uid="{00000000-0005-0000-0000-0000FA020000}"/>
    <cellStyle name="Comma 4 3 4 2" xfId="386" xr:uid="{00000000-0005-0000-0000-0000FB020000}"/>
    <cellStyle name="Comma 4 3 4 3" xfId="387" xr:uid="{00000000-0005-0000-0000-0000FC020000}"/>
    <cellStyle name="Comma 4 3 5" xfId="388" xr:uid="{00000000-0005-0000-0000-0000FD020000}"/>
    <cellStyle name="Comma 4 3 5 2" xfId="389" xr:uid="{00000000-0005-0000-0000-0000FE020000}"/>
    <cellStyle name="Comma 4 3 6" xfId="390" xr:uid="{00000000-0005-0000-0000-0000FF020000}"/>
    <cellStyle name="Comma 4 3 6 2" xfId="391" xr:uid="{00000000-0005-0000-0000-000000030000}"/>
    <cellStyle name="Comma 4 3 7" xfId="392" xr:uid="{00000000-0005-0000-0000-000001030000}"/>
    <cellStyle name="Comma 4 3 8" xfId="1358" xr:uid="{00000000-0005-0000-0000-000002030000}"/>
    <cellStyle name="Comma 4 4" xfId="393" xr:uid="{00000000-0005-0000-0000-000003030000}"/>
    <cellStyle name="Comma 4 4 2" xfId="394" xr:uid="{00000000-0005-0000-0000-000004030000}"/>
    <cellStyle name="Comma 4 4 2 2" xfId="1682" xr:uid="{00000000-0005-0000-0000-000005030000}"/>
    <cellStyle name="Comma 4 4 3" xfId="395" xr:uid="{00000000-0005-0000-0000-000006030000}"/>
    <cellStyle name="Comma 4 4 3 2" xfId="1683" xr:uid="{00000000-0005-0000-0000-000007030000}"/>
    <cellStyle name="Comma 4 4 4" xfId="396" xr:uid="{00000000-0005-0000-0000-000008030000}"/>
    <cellStyle name="Comma 4 4 4 2" xfId="1684" xr:uid="{00000000-0005-0000-0000-000009030000}"/>
    <cellStyle name="Comma 4 4 5" xfId="397" xr:uid="{00000000-0005-0000-0000-00000A030000}"/>
    <cellStyle name="Comma 4 4 5 2" xfId="1685" xr:uid="{00000000-0005-0000-0000-00000B030000}"/>
    <cellStyle name="Comma 4 4 6" xfId="1681" xr:uid="{00000000-0005-0000-0000-00000C030000}"/>
    <cellStyle name="Comma 4 5" xfId="398" xr:uid="{00000000-0005-0000-0000-00000D030000}"/>
    <cellStyle name="Comma 4 5 2" xfId="399" xr:uid="{00000000-0005-0000-0000-00000E030000}"/>
    <cellStyle name="Comma 4 6" xfId="400" xr:uid="{00000000-0005-0000-0000-00000F030000}"/>
    <cellStyle name="Comma 4 7" xfId="401" xr:uid="{00000000-0005-0000-0000-000010030000}"/>
    <cellStyle name="Comma 4 7 2" xfId="402" xr:uid="{00000000-0005-0000-0000-000011030000}"/>
    <cellStyle name="Comma 4 7 3" xfId="403" xr:uid="{00000000-0005-0000-0000-000012030000}"/>
    <cellStyle name="Comma 4 8" xfId="1157" xr:uid="{00000000-0005-0000-0000-000013030000}"/>
    <cellStyle name="Comma 4 8 2" xfId="2122" xr:uid="{00000000-0005-0000-0000-000014030000}"/>
    <cellStyle name="Comma 4 9" xfId="1355" xr:uid="{00000000-0005-0000-0000-000015030000}"/>
    <cellStyle name="Comma 40" xfId="404" xr:uid="{00000000-0005-0000-0000-000016030000}"/>
    <cellStyle name="Comma 41" xfId="405" xr:uid="{00000000-0005-0000-0000-000017030000}"/>
    <cellStyle name="Comma 42" xfId="406" xr:uid="{00000000-0005-0000-0000-000018030000}"/>
    <cellStyle name="Comma 42 2" xfId="1508" xr:uid="{00000000-0005-0000-0000-000019030000}"/>
    <cellStyle name="Comma 43" xfId="407" xr:uid="{00000000-0005-0000-0000-00001A030000}"/>
    <cellStyle name="Comma 43 2" xfId="1511" xr:uid="{00000000-0005-0000-0000-00001B030000}"/>
    <cellStyle name="Comma 44" xfId="408" xr:uid="{00000000-0005-0000-0000-00001C030000}"/>
    <cellStyle name="Comma 44 2" xfId="1516" xr:uid="{00000000-0005-0000-0000-00001D030000}"/>
    <cellStyle name="Comma 45" xfId="409" xr:uid="{00000000-0005-0000-0000-00001E030000}"/>
    <cellStyle name="Comma 45 2" xfId="1512" xr:uid="{00000000-0005-0000-0000-00001F030000}"/>
    <cellStyle name="Comma 46" xfId="410" xr:uid="{00000000-0005-0000-0000-000020030000}"/>
    <cellStyle name="Comma 46 2" xfId="1517" xr:uid="{00000000-0005-0000-0000-000021030000}"/>
    <cellStyle name="Comma 47" xfId="411" xr:uid="{00000000-0005-0000-0000-000022030000}"/>
    <cellStyle name="Comma 47 2" xfId="1513" xr:uid="{00000000-0005-0000-0000-000023030000}"/>
    <cellStyle name="Comma 48" xfId="412" xr:uid="{00000000-0005-0000-0000-000024030000}"/>
    <cellStyle name="Comma 48 2" xfId="1515" xr:uid="{00000000-0005-0000-0000-000025030000}"/>
    <cellStyle name="Comma 49" xfId="413" xr:uid="{00000000-0005-0000-0000-000026030000}"/>
    <cellStyle name="Comma 49 2" xfId="1514" xr:uid="{00000000-0005-0000-0000-000027030000}"/>
    <cellStyle name="Comma 5" xfId="414" xr:uid="{00000000-0005-0000-0000-000028030000}"/>
    <cellStyle name="Comma 5 2" xfId="415" xr:uid="{00000000-0005-0000-0000-000029030000}"/>
    <cellStyle name="Comma 5 2 2" xfId="416" xr:uid="{00000000-0005-0000-0000-00002A030000}"/>
    <cellStyle name="Comma 5 2 2 2" xfId="1688" xr:uid="{00000000-0005-0000-0000-00002B030000}"/>
    <cellStyle name="Comma 5 2 3" xfId="417" xr:uid="{00000000-0005-0000-0000-00002C030000}"/>
    <cellStyle name="Comma 5 2 3 2" xfId="1689" xr:uid="{00000000-0005-0000-0000-00002D030000}"/>
    <cellStyle name="Comma 5 2 4" xfId="1360" xr:uid="{00000000-0005-0000-0000-00002E030000}"/>
    <cellStyle name="Comma 5 2 5" xfId="1687" xr:uid="{00000000-0005-0000-0000-00002F030000}"/>
    <cellStyle name="Comma 5 3" xfId="418" xr:uid="{00000000-0005-0000-0000-000030030000}"/>
    <cellStyle name="Comma 5 3 2" xfId="1690" xr:uid="{00000000-0005-0000-0000-000031030000}"/>
    <cellStyle name="Comma 5 4" xfId="1359" xr:uid="{00000000-0005-0000-0000-000032030000}"/>
    <cellStyle name="Comma 5 5" xfId="1686" xr:uid="{00000000-0005-0000-0000-000033030000}"/>
    <cellStyle name="Comma 50" xfId="419" xr:uid="{00000000-0005-0000-0000-000034030000}"/>
    <cellStyle name="Comma 50 2" xfId="1518" xr:uid="{00000000-0005-0000-0000-000035030000}"/>
    <cellStyle name="Comma 51" xfId="420" xr:uid="{00000000-0005-0000-0000-000036030000}"/>
    <cellStyle name="Comma 51 2" xfId="1520" xr:uid="{00000000-0005-0000-0000-000037030000}"/>
    <cellStyle name="Comma 51 3" xfId="1691" xr:uid="{00000000-0005-0000-0000-000038030000}"/>
    <cellStyle name="Comma 52" xfId="421" xr:uid="{00000000-0005-0000-0000-000039030000}"/>
    <cellStyle name="Comma 52 2" xfId="422" xr:uid="{00000000-0005-0000-0000-00003A030000}"/>
    <cellStyle name="Comma 53" xfId="423" xr:uid="{00000000-0005-0000-0000-00003B030000}"/>
    <cellStyle name="Comma 53 2" xfId="1692" xr:uid="{00000000-0005-0000-0000-00003C030000}"/>
    <cellStyle name="Comma 54" xfId="424" xr:uid="{00000000-0005-0000-0000-00003D030000}"/>
    <cellStyle name="Comma 55" xfId="425" xr:uid="{00000000-0005-0000-0000-00003E030000}"/>
    <cellStyle name="Comma 56" xfId="426" xr:uid="{00000000-0005-0000-0000-00003F030000}"/>
    <cellStyle name="Comma 57" xfId="427" xr:uid="{00000000-0005-0000-0000-000040030000}"/>
    <cellStyle name="Comma 57 2" xfId="428" xr:uid="{00000000-0005-0000-0000-000041030000}"/>
    <cellStyle name="Comma 57 2 2" xfId="1694" xr:uid="{00000000-0005-0000-0000-000042030000}"/>
    <cellStyle name="Comma 57 3" xfId="429" xr:uid="{00000000-0005-0000-0000-000043030000}"/>
    <cellStyle name="Comma 57 3 2" xfId="1695" xr:uid="{00000000-0005-0000-0000-000044030000}"/>
    <cellStyle name="Comma 57 4" xfId="430" xr:uid="{00000000-0005-0000-0000-000045030000}"/>
    <cellStyle name="Comma 57 4 2" xfId="1696" xr:uid="{00000000-0005-0000-0000-000046030000}"/>
    <cellStyle name="Comma 57 5" xfId="431" xr:uid="{00000000-0005-0000-0000-000047030000}"/>
    <cellStyle name="Comma 57 5 2" xfId="1697" xr:uid="{00000000-0005-0000-0000-000048030000}"/>
    <cellStyle name="Comma 57 6" xfId="1693" xr:uid="{00000000-0005-0000-0000-000049030000}"/>
    <cellStyle name="Comma 58" xfId="432" xr:uid="{00000000-0005-0000-0000-00004A030000}"/>
    <cellStyle name="Comma 58 2" xfId="433" xr:uid="{00000000-0005-0000-0000-00004B030000}"/>
    <cellStyle name="Comma 58 2 2" xfId="1699" xr:uid="{00000000-0005-0000-0000-00004C030000}"/>
    <cellStyle name="Comma 58 3" xfId="434" xr:uid="{00000000-0005-0000-0000-00004D030000}"/>
    <cellStyle name="Comma 58 3 2" xfId="1700" xr:uid="{00000000-0005-0000-0000-00004E030000}"/>
    <cellStyle name="Comma 58 4" xfId="435" xr:uid="{00000000-0005-0000-0000-00004F030000}"/>
    <cellStyle name="Comma 58 4 2" xfId="1701" xr:uid="{00000000-0005-0000-0000-000050030000}"/>
    <cellStyle name="Comma 58 5" xfId="436" xr:uid="{00000000-0005-0000-0000-000051030000}"/>
    <cellStyle name="Comma 58 5 2" xfId="1702" xr:uid="{00000000-0005-0000-0000-000052030000}"/>
    <cellStyle name="Comma 58 6" xfId="1698" xr:uid="{00000000-0005-0000-0000-000053030000}"/>
    <cellStyle name="Comma 59" xfId="437" xr:uid="{00000000-0005-0000-0000-000054030000}"/>
    <cellStyle name="Comma 59 2" xfId="438" xr:uid="{00000000-0005-0000-0000-000055030000}"/>
    <cellStyle name="Comma 59 2 2" xfId="1704" xr:uid="{00000000-0005-0000-0000-000056030000}"/>
    <cellStyle name="Comma 59 3" xfId="439" xr:uid="{00000000-0005-0000-0000-000057030000}"/>
    <cellStyle name="Comma 59 3 2" xfId="1705" xr:uid="{00000000-0005-0000-0000-000058030000}"/>
    <cellStyle name="Comma 59 4" xfId="440" xr:uid="{00000000-0005-0000-0000-000059030000}"/>
    <cellStyle name="Comma 59 4 2" xfId="1706" xr:uid="{00000000-0005-0000-0000-00005A030000}"/>
    <cellStyle name="Comma 59 5" xfId="441" xr:uid="{00000000-0005-0000-0000-00005B030000}"/>
    <cellStyle name="Comma 59 5 2" xfId="1707" xr:uid="{00000000-0005-0000-0000-00005C030000}"/>
    <cellStyle name="Comma 59 6" xfId="1703" xr:uid="{00000000-0005-0000-0000-00005D030000}"/>
    <cellStyle name="Comma 6" xfId="442" xr:uid="{00000000-0005-0000-0000-00005E030000}"/>
    <cellStyle name="Comma 6 2" xfId="443" xr:uid="{00000000-0005-0000-0000-00005F030000}"/>
    <cellStyle name="Comma 6 2 2" xfId="1174" xr:uid="{00000000-0005-0000-0000-000060030000}"/>
    <cellStyle name="Comma 6 2 3" xfId="1362" xr:uid="{00000000-0005-0000-0000-000061030000}"/>
    <cellStyle name="Comma 6 3" xfId="444" xr:uid="{00000000-0005-0000-0000-000062030000}"/>
    <cellStyle name="Comma 6 3 2" xfId="1159" xr:uid="{00000000-0005-0000-0000-000063030000}"/>
    <cellStyle name="Comma 6 3 2 2" xfId="2124" xr:uid="{00000000-0005-0000-0000-000064030000}"/>
    <cellStyle name="Comma 6 3 3" xfId="1708" xr:uid="{00000000-0005-0000-0000-000065030000}"/>
    <cellStyle name="Comma 6 4" xfId="445" xr:uid="{00000000-0005-0000-0000-000066030000}"/>
    <cellStyle name="Comma 6 4 2" xfId="446" xr:uid="{00000000-0005-0000-0000-000067030000}"/>
    <cellStyle name="Comma 6 4 2 2" xfId="1710" xr:uid="{00000000-0005-0000-0000-000068030000}"/>
    <cellStyle name="Comma 6 4 3" xfId="447" xr:uid="{00000000-0005-0000-0000-000069030000}"/>
    <cellStyle name="Comma 6 4 3 2" xfId="1711" xr:uid="{00000000-0005-0000-0000-00006A030000}"/>
    <cellStyle name="Comma 6 4 4" xfId="448" xr:uid="{00000000-0005-0000-0000-00006B030000}"/>
    <cellStyle name="Comma 6 4 4 2" xfId="1712" xr:uid="{00000000-0005-0000-0000-00006C030000}"/>
    <cellStyle name="Comma 6 4 5" xfId="449" xr:uid="{00000000-0005-0000-0000-00006D030000}"/>
    <cellStyle name="Comma 6 4 5 2" xfId="1713" xr:uid="{00000000-0005-0000-0000-00006E030000}"/>
    <cellStyle name="Comma 6 4 6" xfId="1709" xr:uid="{00000000-0005-0000-0000-00006F030000}"/>
    <cellStyle name="Comma 6 5" xfId="450" xr:uid="{00000000-0005-0000-0000-000070030000}"/>
    <cellStyle name="Comma 6 5 2" xfId="1714" xr:uid="{00000000-0005-0000-0000-000071030000}"/>
    <cellStyle name="Comma 6 6" xfId="451" xr:uid="{00000000-0005-0000-0000-000072030000}"/>
    <cellStyle name="Comma 6 6 2" xfId="1715" xr:uid="{00000000-0005-0000-0000-000073030000}"/>
    <cellStyle name="Comma 6 7" xfId="452" xr:uid="{00000000-0005-0000-0000-000074030000}"/>
    <cellStyle name="Comma 6 7 2" xfId="453" xr:uid="{00000000-0005-0000-0000-000075030000}"/>
    <cellStyle name="Comma 6 7 3" xfId="454" xr:uid="{00000000-0005-0000-0000-000076030000}"/>
    <cellStyle name="Comma 6 8" xfId="1158" xr:uid="{00000000-0005-0000-0000-000077030000}"/>
    <cellStyle name="Comma 6 8 2" xfId="2123" xr:uid="{00000000-0005-0000-0000-000078030000}"/>
    <cellStyle name="Comma 6 9" xfId="1361" xr:uid="{00000000-0005-0000-0000-000079030000}"/>
    <cellStyle name="Comma 60" xfId="455" xr:uid="{00000000-0005-0000-0000-00007A030000}"/>
    <cellStyle name="Comma 60 2" xfId="456" xr:uid="{00000000-0005-0000-0000-00007B030000}"/>
    <cellStyle name="Comma 60 2 2" xfId="1717" xr:uid="{00000000-0005-0000-0000-00007C030000}"/>
    <cellStyle name="Comma 60 3" xfId="457" xr:uid="{00000000-0005-0000-0000-00007D030000}"/>
    <cellStyle name="Comma 60 3 2" xfId="1718" xr:uid="{00000000-0005-0000-0000-00007E030000}"/>
    <cellStyle name="Comma 60 4" xfId="458" xr:uid="{00000000-0005-0000-0000-00007F030000}"/>
    <cellStyle name="Comma 60 4 2" xfId="1719" xr:uid="{00000000-0005-0000-0000-000080030000}"/>
    <cellStyle name="Comma 60 5" xfId="459" xr:uid="{00000000-0005-0000-0000-000081030000}"/>
    <cellStyle name="Comma 60 5 2" xfId="1720" xr:uid="{00000000-0005-0000-0000-000082030000}"/>
    <cellStyle name="Comma 60 6" xfId="1716" xr:uid="{00000000-0005-0000-0000-000083030000}"/>
    <cellStyle name="Comma 61" xfId="460" xr:uid="{00000000-0005-0000-0000-000084030000}"/>
    <cellStyle name="Comma 61 2" xfId="461" xr:uid="{00000000-0005-0000-0000-000085030000}"/>
    <cellStyle name="Comma 61 2 2" xfId="1722" xr:uid="{00000000-0005-0000-0000-000086030000}"/>
    <cellStyle name="Comma 61 3" xfId="462" xr:uid="{00000000-0005-0000-0000-000087030000}"/>
    <cellStyle name="Comma 61 3 2" xfId="1723" xr:uid="{00000000-0005-0000-0000-000088030000}"/>
    <cellStyle name="Comma 61 4" xfId="463" xr:uid="{00000000-0005-0000-0000-000089030000}"/>
    <cellStyle name="Comma 61 4 2" xfId="1724" xr:uid="{00000000-0005-0000-0000-00008A030000}"/>
    <cellStyle name="Comma 61 5" xfId="464" xr:uid="{00000000-0005-0000-0000-00008B030000}"/>
    <cellStyle name="Comma 61 5 2" xfId="1725" xr:uid="{00000000-0005-0000-0000-00008C030000}"/>
    <cellStyle name="Comma 61 6" xfId="1721" xr:uid="{00000000-0005-0000-0000-00008D030000}"/>
    <cellStyle name="Comma 62" xfId="465" xr:uid="{00000000-0005-0000-0000-00008E030000}"/>
    <cellStyle name="Comma 62 2" xfId="466" xr:uid="{00000000-0005-0000-0000-00008F030000}"/>
    <cellStyle name="Comma 62 2 2" xfId="1727" xr:uid="{00000000-0005-0000-0000-000090030000}"/>
    <cellStyle name="Comma 62 3" xfId="467" xr:uid="{00000000-0005-0000-0000-000091030000}"/>
    <cellStyle name="Comma 62 3 2" xfId="1728" xr:uid="{00000000-0005-0000-0000-000092030000}"/>
    <cellStyle name="Comma 62 4" xfId="468" xr:uid="{00000000-0005-0000-0000-000093030000}"/>
    <cellStyle name="Comma 62 4 2" xfId="1729" xr:uid="{00000000-0005-0000-0000-000094030000}"/>
    <cellStyle name="Comma 62 5" xfId="1726" xr:uid="{00000000-0005-0000-0000-000095030000}"/>
    <cellStyle name="Comma 63" xfId="469" xr:uid="{00000000-0005-0000-0000-000096030000}"/>
    <cellStyle name="Comma 63 2" xfId="470" xr:uid="{00000000-0005-0000-0000-000097030000}"/>
    <cellStyle name="Comma 63 2 2" xfId="1731" xr:uid="{00000000-0005-0000-0000-000098030000}"/>
    <cellStyle name="Comma 63 3" xfId="471" xr:uid="{00000000-0005-0000-0000-000099030000}"/>
    <cellStyle name="Comma 63 3 2" xfId="1732" xr:uid="{00000000-0005-0000-0000-00009A030000}"/>
    <cellStyle name="Comma 63 4" xfId="472" xr:uid="{00000000-0005-0000-0000-00009B030000}"/>
    <cellStyle name="Comma 63 4 2" xfId="1733" xr:uid="{00000000-0005-0000-0000-00009C030000}"/>
    <cellStyle name="Comma 63 5" xfId="1730" xr:uid="{00000000-0005-0000-0000-00009D030000}"/>
    <cellStyle name="Comma 64" xfId="473" xr:uid="{00000000-0005-0000-0000-00009E030000}"/>
    <cellStyle name="Comma 64 2" xfId="474" xr:uid="{00000000-0005-0000-0000-00009F030000}"/>
    <cellStyle name="Comma 64 2 2" xfId="1735" xr:uid="{00000000-0005-0000-0000-0000A0030000}"/>
    <cellStyle name="Comma 64 3" xfId="475" xr:uid="{00000000-0005-0000-0000-0000A1030000}"/>
    <cellStyle name="Comma 64 3 2" xfId="1736" xr:uid="{00000000-0005-0000-0000-0000A2030000}"/>
    <cellStyle name="Comma 64 4" xfId="476" xr:uid="{00000000-0005-0000-0000-0000A3030000}"/>
    <cellStyle name="Comma 64 4 2" xfId="1737" xr:uid="{00000000-0005-0000-0000-0000A4030000}"/>
    <cellStyle name="Comma 64 5" xfId="1734" xr:uid="{00000000-0005-0000-0000-0000A5030000}"/>
    <cellStyle name="Comma 65" xfId="477" xr:uid="{00000000-0005-0000-0000-0000A6030000}"/>
    <cellStyle name="Comma 65 2" xfId="478" xr:uid="{00000000-0005-0000-0000-0000A7030000}"/>
    <cellStyle name="Comma 65 2 2" xfId="1739" xr:uid="{00000000-0005-0000-0000-0000A8030000}"/>
    <cellStyle name="Comma 65 3" xfId="479" xr:uid="{00000000-0005-0000-0000-0000A9030000}"/>
    <cellStyle name="Comma 65 3 2" xfId="1740" xr:uid="{00000000-0005-0000-0000-0000AA030000}"/>
    <cellStyle name="Comma 65 4" xfId="480" xr:uid="{00000000-0005-0000-0000-0000AB030000}"/>
    <cellStyle name="Comma 65 4 2" xfId="1741" xr:uid="{00000000-0005-0000-0000-0000AC030000}"/>
    <cellStyle name="Comma 65 5" xfId="1738" xr:uid="{00000000-0005-0000-0000-0000AD030000}"/>
    <cellStyle name="Comma 66" xfId="481" xr:uid="{00000000-0005-0000-0000-0000AE030000}"/>
    <cellStyle name="Comma 66 2" xfId="482" xr:uid="{00000000-0005-0000-0000-0000AF030000}"/>
    <cellStyle name="Comma 66 2 2" xfId="1743" xr:uid="{00000000-0005-0000-0000-0000B0030000}"/>
    <cellStyle name="Comma 66 3" xfId="483" xr:uid="{00000000-0005-0000-0000-0000B1030000}"/>
    <cellStyle name="Comma 66 3 2" xfId="1744" xr:uid="{00000000-0005-0000-0000-0000B2030000}"/>
    <cellStyle name="Comma 66 4" xfId="484" xr:uid="{00000000-0005-0000-0000-0000B3030000}"/>
    <cellStyle name="Comma 66 4 2" xfId="1745" xr:uid="{00000000-0005-0000-0000-0000B4030000}"/>
    <cellStyle name="Comma 66 5" xfId="1742" xr:uid="{00000000-0005-0000-0000-0000B5030000}"/>
    <cellStyle name="Comma 67" xfId="485" xr:uid="{00000000-0005-0000-0000-0000B6030000}"/>
    <cellStyle name="Comma 67 2" xfId="486" xr:uid="{00000000-0005-0000-0000-0000B7030000}"/>
    <cellStyle name="Comma 67 2 2" xfId="1747" xr:uid="{00000000-0005-0000-0000-0000B8030000}"/>
    <cellStyle name="Comma 67 3" xfId="487" xr:uid="{00000000-0005-0000-0000-0000B9030000}"/>
    <cellStyle name="Comma 67 3 2" xfId="1748" xr:uid="{00000000-0005-0000-0000-0000BA030000}"/>
    <cellStyle name="Comma 67 4" xfId="488" xr:uid="{00000000-0005-0000-0000-0000BB030000}"/>
    <cellStyle name="Comma 67 4 2" xfId="1749" xr:uid="{00000000-0005-0000-0000-0000BC030000}"/>
    <cellStyle name="Comma 67 5" xfId="1746" xr:uid="{00000000-0005-0000-0000-0000BD030000}"/>
    <cellStyle name="Comma 68" xfId="489" xr:uid="{00000000-0005-0000-0000-0000BE030000}"/>
    <cellStyle name="Comma 68 2" xfId="490" xr:uid="{00000000-0005-0000-0000-0000BF030000}"/>
    <cellStyle name="Comma 68 2 2" xfId="1751" xr:uid="{00000000-0005-0000-0000-0000C0030000}"/>
    <cellStyle name="Comma 68 3" xfId="491" xr:uid="{00000000-0005-0000-0000-0000C1030000}"/>
    <cellStyle name="Comma 68 3 2" xfId="1752" xr:uid="{00000000-0005-0000-0000-0000C2030000}"/>
    <cellStyle name="Comma 68 4" xfId="492" xr:uid="{00000000-0005-0000-0000-0000C3030000}"/>
    <cellStyle name="Comma 68 4 2" xfId="1753" xr:uid="{00000000-0005-0000-0000-0000C4030000}"/>
    <cellStyle name="Comma 68 5" xfId="1750" xr:uid="{00000000-0005-0000-0000-0000C5030000}"/>
    <cellStyle name="Comma 69" xfId="493" xr:uid="{00000000-0005-0000-0000-0000C6030000}"/>
    <cellStyle name="Comma 69 2" xfId="494" xr:uid="{00000000-0005-0000-0000-0000C7030000}"/>
    <cellStyle name="Comma 69 2 2" xfId="1755" xr:uid="{00000000-0005-0000-0000-0000C8030000}"/>
    <cellStyle name="Comma 69 3" xfId="1754" xr:uid="{00000000-0005-0000-0000-0000C9030000}"/>
    <cellStyle name="Comma 7" xfId="495" xr:uid="{00000000-0005-0000-0000-0000CA030000}"/>
    <cellStyle name="Comma 7 2" xfId="496" xr:uid="{00000000-0005-0000-0000-0000CB030000}"/>
    <cellStyle name="Comma 7 2 2" xfId="1364" xr:uid="{00000000-0005-0000-0000-0000CC030000}"/>
    <cellStyle name="Comma 7 2 3" xfId="1756" xr:uid="{00000000-0005-0000-0000-0000CD030000}"/>
    <cellStyle name="Comma 7 3" xfId="1182" xr:uid="{00000000-0005-0000-0000-0000CE030000}"/>
    <cellStyle name="Comma 7 4" xfId="1363" xr:uid="{00000000-0005-0000-0000-0000CF030000}"/>
    <cellStyle name="Comma 70" xfId="497" xr:uid="{00000000-0005-0000-0000-0000D0030000}"/>
    <cellStyle name="Comma 70 2" xfId="498" xr:uid="{00000000-0005-0000-0000-0000D1030000}"/>
    <cellStyle name="Comma 70 2 2" xfId="1758" xr:uid="{00000000-0005-0000-0000-0000D2030000}"/>
    <cellStyle name="Comma 70 3" xfId="1757" xr:uid="{00000000-0005-0000-0000-0000D3030000}"/>
    <cellStyle name="Comma 71" xfId="499" xr:uid="{00000000-0005-0000-0000-0000D4030000}"/>
    <cellStyle name="Comma 71 2" xfId="500" xr:uid="{00000000-0005-0000-0000-0000D5030000}"/>
    <cellStyle name="Comma 71 2 2" xfId="1760" xr:uid="{00000000-0005-0000-0000-0000D6030000}"/>
    <cellStyle name="Comma 71 3" xfId="1759" xr:uid="{00000000-0005-0000-0000-0000D7030000}"/>
    <cellStyle name="Comma 72" xfId="501" xr:uid="{00000000-0005-0000-0000-0000D8030000}"/>
    <cellStyle name="Comma 72 2" xfId="1761" xr:uid="{00000000-0005-0000-0000-0000D9030000}"/>
    <cellStyle name="Comma 73" xfId="502" xr:uid="{00000000-0005-0000-0000-0000DA030000}"/>
    <cellStyle name="Comma 73 2" xfId="1762" xr:uid="{00000000-0005-0000-0000-0000DB030000}"/>
    <cellStyle name="Comma 74" xfId="503" xr:uid="{00000000-0005-0000-0000-0000DC030000}"/>
    <cellStyle name="Comma 74 2" xfId="1763" xr:uid="{00000000-0005-0000-0000-0000DD030000}"/>
    <cellStyle name="Comma 75" xfId="504" xr:uid="{00000000-0005-0000-0000-0000DE030000}"/>
    <cellStyle name="Comma 75 2" xfId="1764" xr:uid="{00000000-0005-0000-0000-0000DF030000}"/>
    <cellStyle name="Comma 76" xfId="505" xr:uid="{00000000-0005-0000-0000-0000E0030000}"/>
    <cellStyle name="Comma 76 2" xfId="1765" xr:uid="{00000000-0005-0000-0000-0000E1030000}"/>
    <cellStyle name="Comma 77" xfId="506" xr:uid="{00000000-0005-0000-0000-0000E2030000}"/>
    <cellStyle name="Comma 77 2" xfId="1766" xr:uid="{00000000-0005-0000-0000-0000E3030000}"/>
    <cellStyle name="Comma 78" xfId="507" xr:uid="{00000000-0005-0000-0000-0000E4030000}"/>
    <cellStyle name="Comma 78 2" xfId="1767" xr:uid="{00000000-0005-0000-0000-0000E5030000}"/>
    <cellStyle name="Comma 79" xfId="508" xr:uid="{00000000-0005-0000-0000-0000E6030000}"/>
    <cellStyle name="Comma 79 2" xfId="1768" xr:uid="{00000000-0005-0000-0000-0000E7030000}"/>
    <cellStyle name="Comma 8" xfId="509" xr:uid="{00000000-0005-0000-0000-0000E8030000}"/>
    <cellStyle name="Comma 8 2" xfId="1365" xr:uid="{00000000-0005-0000-0000-0000E9030000}"/>
    <cellStyle name="Comma 80" xfId="510" xr:uid="{00000000-0005-0000-0000-0000EA030000}"/>
    <cellStyle name="Comma 80 2" xfId="1769" xr:uid="{00000000-0005-0000-0000-0000EB030000}"/>
    <cellStyle name="Comma 81" xfId="511" xr:uid="{00000000-0005-0000-0000-0000EC030000}"/>
    <cellStyle name="Comma 81 2" xfId="1770" xr:uid="{00000000-0005-0000-0000-0000ED030000}"/>
    <cellStyle name="Comma 82" xfId="512" xr:uid="{00000000-0005-0000-0000-0000EE030000}"/>
    <cellStyle name="Comma 82 2" xfId="1771" xr:uid="{00000000-0005-0000-0000-0000EF030000}"/>
    <cellStyle name="Comma 83" xfId="513" xr:uid="{00000000-0005-0000-0000-0000F0030000}"/>
    <cellStyle name="Comma 83 2" xfId="1772" xr:uid="{00000000-0005-0000-0000-0000F1030000}"/>
    <cellStyle name="Comma 84" xfId="514" xr:uid="{00000000-0005-0000-0000-0000F2030000}"/>
    <cellStyle name="Comma 84 2" xfId="1773" xr:uid="{00000000-0005-0000-0000-0000F3030000}"/>
    <cellStyle name="Comma 85" xfId="515" xr:uid="{00000000-0005-0000-0000-0000F4030000}"/>
    <cellStyle name="Comma 85 2" xfId="1774" xr:uid="{00000000-0005-0000-0000-0000F5030000}"/>
    <cellStyle name="Comma 86" xfId="516" xr:uid="{00000000-0005-0000-0000-0000F6030000}"/>
    <cellStyle name="Comma 86 2" xfId="1775" xr:uid="{00000000-0005-0000-0000-0000F7030000}"/>
    <cellStyle name="Comma 87" xfId="517" xr:uid="{00000000-0005-0000-0000-0000F8030000}"/>
    <cellStyle name="Comma 87 2" xfId="1776" xr:uid="{00000000-0005-0000-0000-0000F9030000}"/>
    <cellStyle name="Comma 88" xfId="518" xr:uid="{00000000-0005-0000-0000-0000FA030000}"/>
    <cellStyle name="Comma 88 2" xfId="1777" xr:uid="{00000000-0005-0000-0000-0000FB030000}"/>
    <cellStyle name="Comma 89" xfId="519" xr:uid="{00000000-0005-0000-0000-0000FC030000}"/>
    <cellStyle name="Comma 89 2" xfId="1778" xr:uid="{00000000-0005-0000-0000-0000FD030000}"/>
    <cellStyle name="Comma 9" xfId="520" xr:uid="{00000000-0005-0000-0000-0000FE030000}"/>
    <cellStyle name="Comma 9 2" xfId="1366" xr:uid="{00000000-0005-0000-0000-0000FF030000}"/>
    <cellStyle name="Comma 9 3" xfId="2175" xr:uid="{00000000-0005-0000-0000-000000040000}"/>
    <cellStyle name="Comma 90" xfId="521" xr:uid="{00000000-0005-0000-0000-000001040000}"/>
    <cellStyle name="Comma 90 2" xfId="1779" xr:uid="{00000000-0005-0000-0000-000002040000}"/>
    <cellStyle name="Comma 91" xfId="522" xr:uid="{00000000-0005-0000-0000-000003040000}"/>
    <cellStyle name="Comma 91 2" xfId="1780" xr:uid="{00000000-0005-0000-0000-000004040000}"/>
    <cellStyle name="Comma 92" xfId="523" xr:uid="{00000000-0005-0000-0000-000005040000}"/>
    <cellStyle name="Comma 92 2" xfId="524" xr:uid="{00000000-0005-0000-0000-000006040000}"/>
    <cellStyle name="Comma 92 2 2" xfId="1782" xr:uid="{00000000-0005-0000-0000-000007040000}"/>
    <cellStyle name="Comma 92 3" xfId="525" xr:uid="{00000000-0005-0000-0000-000008040000}"/>
    <cellStyle name="Comma 92 3 2" xfId="1783" xr:uid="{00000000-0005-0000-0000-000009040000}"/>
    <cellStyle name="Comma 92 4" xfId="1781" xr:uid="{00000000-0005-0000-0000-00000A040000}"/>
    <cellStyle name="Comma 93" xfId="526" xr:uid="{00000000-0005-0000-0000-00000B040000}"/>
    <cellStyle name="Comma 93 2" xfId="527" xr:uid="{00000000-0005-0000-0000-00000C040000}"/>
    <cellStyle name="Comma 93 2 2" xfId="1785" xr:uid="{00000000-0005-0000-0000-00000D040000}"/>
    <cellStyle name="Comma 93 3" xfId="528" xr:uid="{00000000-0005-0000-0000-00000E040000}"/>
    <cellStyle name="Comma 93 3 2" xfId="1786" xr:uid="{00000000-0005-0000-0000-00000F040000}"/>
    <cellStyle name="Comma 93 4" xfId="1784" xr:uid="{00000000-0005-0000-0000-000010040000}"/>
    <cellStyle name="Comma 94" xfId="529" xr:uid="{00000000-0005-0000-0000-000011040000}"/>
    <cellStyle name="Comma 94 2" xfId="1787" xr:uid="{00000000-0005-0000-0000-000012040000}"/>
    <cellStyle name="Comma 95" xfId="530" xr:uid="{00000000-0005-0000-0000-000013040000}"/>
    <cellStyle name="Comma 95 2" xfId="1788" xr:uid="{00000000-0005-0000-0000-000014040000}"/>
    <cellStyle name="Comma 96" xfId="531" xr:uid="{00000000-0005-0000-0000-000015040000}"/>
    <cellStyle name="Comma 96 2" xfId="1789" xr:uid="{00000000-0005-0000-0000-000016040000}"/>
    <cellStyle name="Comma 97" xfId="532" xr:uid="{00000000-0005-0000-0000-000017040000}"/>
    <cellStyle name="Comma 97 2" xfId="1790" xr:uid="{00000000-0005-0000-0000-000018040000}"/>
    <cellStyle name="Comma 98" xfId="533" xr:uid="{00000000-0005-0000-0000-000019040000}"/>
    <cellStyle name="Comma 98 2" xfId="1791" xr:uid="{00000000-0005-0000-0000-00001A040000}"/>
    <cellStyle name="Comma 99" xfId="534" xr:uid="{00000000-0005-0000-0000-00001B040000}"/>
    <cellStyle name="Comma 99 2" xfId="1792" xr:uid="{00000000-0005-0000-0000-00001C040000}"/>
    <cellStyle name="Comma_spp calc - revsd rev crd" xfId="535" xr:uid="{00000000-0005-0000-0000-00001D040000}"/>
    <cellStyle name="Comma0" xfId="536" xr:uid="{00000000-0005-0000-0000-00001E040000}"/>
    <cellStyle name="Comma0 2" xfId="537" xr:uid="{00000000-0005-0000-0000-00001F040000}"/>
    <cellStyle name="Comma0 2 2" xfId="538" xr:uid="{00000000-0005-0000-0000-000020040000}"/>
    <cellStyle name="Comma0 2 3" xfId="539" xr:uid="{00000000-0005-0000-0000-000021040000}"/>
    <cellStyle name="Comma0 2 3 2" xfId="1793" xr:uid="{00000000-0005-0000-0000-000022040000}"/>
    <cellStyle name="Comma0 2 4" xfId="540" xr:uid="{00000000-0005-0000-0000-000023040000}"/>
    <cellStyle name="Comma0 2 5" xfId="541" xr:uid="{00000000-0005-0000-0000-000024040000}"/>
    <cellStyle name="Comma0 2 5 2" xfId="1794" xr:uid="{00000000-0005-0000-0000-000025040000}"/>
    <cellStyle name="Comma0 2 6" xfId="542" xr:uid="{00000000-0005-0000-0000-000026040000}"/>
    <cellStyle name="Comma0 2 6 2" xfId="1795" xr:uid="{00000000-0005-0000-0000-000027040000}"/>
    <cellStyle name="Comma0 3" xfId="543" xr:uid="{00000000-0005-0000-0000-000028040000}"/>
    <cellStyle name="Comma0 4" xfId="1367" xr:uid="{00000000-0005-0000-0000-000029040000}"/>
    <cellStyle name="Currency" xfId="1536" builtinId="4"/>
    <cellStyle name="Currency 10" xfId="544" xr:uid="{00000000-0005-0000-0000-00002B040000}"/>
    <cellStyle name="Currency 10 2" xfId="1796" xr:uid="{00000000-0005-0000-0000-00002C040000}"/>
    <cellStyle name="Currency 11" xfId="545" xr:uid="{00000000-0005-0000-0000-00002D040000}"/>
    <cellStyle name="Currency 11 2" xfId="546" xr:uid="{00000000-0005-0000-0000-00002E040000}"/>
    <cellStyle name="Currency 11 2 2" xfId="1798" xr:uid="{00000000-0005-0000-0000-00002F040000}"/>
    <cellStyle name="Currency 11 3" xfId="547" xr:uid="{00000000-0005-0000-0000-000030040000}"/>
    <cellStyle name="Currency 11 3 2" xfId="1799" xr:uid="{00000000-0005-0000-0000-000031040000}"/>
    <cellStyle name="Currency 11 4" xfId="1797" xr:uid="{00000000-0005-0000-0000-000032040000}"/>
    <cellStyle name="Currency 12" xfId="548" xr:uid="{00000000-0005-0000-0000-000033040000}"/>
    <cellStyle name="Currency 12 2" xfId="549" xr:uid="{00000000-0005-0000-0000-000034040000}"/>
    <cellStyle name="Currency 12 2 2" xfId="1801" xr:uid="{00000000-0005-0000-0000-000035040000}"/>
    <cellStyle name="Currency 12 3" xfId="1800" xr:uid="{00000000-0005-0000-0000-000036040000}"/>
    <cellStyle name="Currency 13" xfId="550" xr:uid="{00000000-0005-0000-0000-000037040000}"/>
    <cellStyle name="Currency 13 2" xfId="1802" xr:uid="{00000000-0005-0000-0000-000038040000}"/>
    <cellStyle name="Currency 2" xfId="551" xr:uid="{00000000-0005-0000-0000-000039040000}"/>
    <cellStyle name="Currency 2 2" xfId="552" xr:uid="{00000000-0005-0000-0000-00003A040000}"/>
    <cellStyle name="Currency 2 2 2" xfId="553" xr:uid="{00000000-0005-0000-0000-00003B040000}"/>
    <cellStyle name="Currency 2 2 2 2" xfId="1803" xr:uid="{00000000-0005-0000-0000-00003C040000}"/>
    <cellStyle name="Currency 2 2 3" xfId="1368" xr:uid="{00000000-0005-0000-0000-00003D040000}"/>
    <cellStyle name="Currency 2 3" xfId="554" xr:uid="{00000000-0005-0000-0000-00003E040000}"/>
    <cellStyle name="Currency 2 3 2" xfId="1804" xr:uid="{00000000-0005-0000-0000-00003F040000}"/>
    <cellStyle name="Currency 2 4" xfId="1181" xr:uid="{00000000-0005-0000-0000-000040040000}"/>
    <cellStyle name="Currency 3" xfId="555" xr:uid="{00000000-0005-0000-0000-000041040000}"/>
    <cellStyle name="Currency 3 10" xfId="556" xr:uid="{00000000-0005-0000-0000-000042040000}"/>
    <cellStyle name="Currency 3 10 2" xfId="557" xr:uid="{00000000-0005-0000-0000-000043040000}"/>
    <cellStyle name="Currency 3 10 2 2" xfId="1806" xr:uid="{00000000-0005-0000-0000-000044040000}"/>
    <cellStyle name="Currency 3 10 3" xfId="558" xr:uid="{00000000-0005-0000-0000-000045040000}"/>
    <cellStyle name="Currency 3 10 3 2" xfId="1807" xr:uid="{00000000-0005-0000-0000-000046040000}"/>
    <cellStyle name="Currency 3 10 4" xfId="1805" xr:uid="{00000000-0005-0000-0000-000047040000}"/>
    <cellStyle name="Currency 3 11" xfId="559" xr:uid="{00000000-0005-0000-0000-000048040000}"/>
    <cellStyle name="Currency 3 11 2" xfId="560" xr:uid="{00000000-0005-0000-0000-000049040000}"/>
    <cellStyle name="Currency 3 11 2 2" xfId="1809" xr:uid="{00000000-0005-0000-0000-00004A040000}"/>
    <cellStyle name="Currency 3 11 3" xfId="1808" xr:uid="{00000000-0005-0000-0000-00004B040000}"/>
    <cellStyle name="Currency 3 12" xfId="561" xr:uid="{00000000-0005-0000-0000-00004C040000}"/>
    <cellStyle name="Currency 3 12 2" xfId="562" xr:uid="{00000000-0005-0000-0000-00004D040000}"/>
    <cellStyle name="Currency 3 12 2 2" xfId="1811" xr:uid="{00000000-0005-0000-0000-00004E040000}"/>
    <cellStyle name="Currency 3 12 3" xfId="1810" xr:uid="{00000000-0005-0000-0000-00004F040000}"/>
    <cellStyle name="Currency 3 13" xfId="563" xr:uid="{00000000-0005-0000-0000-000050040000}"/>
    <cellStyle name="Currency 3 13 2" xfId="564" xr:uid="{00000000-0005-0000-0000-000051040000}"/>
    <cellStyle name="Currency 3 13 2 2" xfId="1813" xr:uid="{00000000-0005-0000-0000-000052040000}"/>
    <cellStyle name="Currency 3 13 3" xfId="1812" xr:uid="{00000000-0005-0000-0000-000053040000}"/>
    <cellStyle name="Currency 3 14" xfId="565" xr:uid="{00000000-0005-0000-0000-000054040000}"/>
    <cellStyle name="Currency 3 14 2" xfId="1814" xr:uid="{00000000-0005-0000-0000-000055040000}"/>
    <cellStyle name="Currency 3 15" xfId="1369" xr:uid="{00000000-0005-0000-0000-000056040000}"/>
    <cellStyle name="Currency 3 2" xfId="566" xr:uid="{00000000-0005-0000-0000-000057040000}"/>
    <cellStyle name="Currency 3 2 2" xfId="567" xr:uid="{00000000-0005-0000-0000-000058040000}"/>
    <cellStyle name="Currency 3 2 2 2" xfId="1815" xr:uid="{00000000-0005-0000-0000-000059040000}"/>
    <cellStyle name="Currency 3 2 3" xfId="1483" xr:uid="{00000000-0005-0000-0000-00005A040000}"/>
    <cellStyle name="Currency 3 3" xfId="568" xr:uid="{00000000-0005-0000-0000-00005B040000}"/>
    <cellStyle name="Currency 3 3 2" xfId="569" xr:uid="{00000000-0005-0000-0000-00005C040000}"/>
    <cellStyle name="Currency 3 3 2 2" xfId="570" xr:uid="{00000000-0005-0000-0000-00005D040000}"/>
    <cellStyle name="Currency 3 3 2 2 2" xfId="1817" xr:uid="{00000000-0005-0000-0000-00005E040000}"/>
    <cellStyle name="Currency 3 3 2 3" xfId="571" xr:uid="{00000000-0005-0000-0000-00005F040000}"/>
    <cellStyle name="Currency 3 3 2 3 2" xfId="1818" xr:uid="{00000000-0005-0000-0000-000060040000}"/>
    <cellStyle name="Currency 3 3 2 4" xfId="1816" xr:uid="{00000000-0005-0000-0000-000061040000}"/>
    <cellStyle name="Currency 3 3 3" xfId="572" xr:uid="{00000000-0005-0000-0000-000062040000}"/>
    <cellStyle name="Currency 3 3 3 2" xfId="573" xr:uid="{00000000-0005-0000-0000-000063040000}"/>
    <cellStyle name="Currency 3 3 3 2 2" xfId="574" xr:uid="{00000000-0005-0000-0000-000064040000}"/>
    <cellStyle name="Currency 3 3 3 2 2 2" xfId="1821" xr:uid="{00000000-0005-0000-0000-000065040000}"/>
    <cellStyle name="Currency 3 3 3 2 3" xfId="575" xr:uid="{00000000-0005-0000-0000-000066040000}"/>
    <cellStyle name="Currency 3 3 3 2 3 2" xfId="1822" xr:uid="{00000000-0005-0000-0000-000067040000}"/>
    <cellStyle name="Currency 3 3 3 2 4" xfId="576" xr:uid="{00000000-0005-0000-0000-000068040000}"/>
    <cellStyle name="Currency 3 3 3 2 4 2" xfId="1823" xr:uid="{00000000-0005-0000-0000-000069040000}"/>
    <cellStyle name="Currency 3 3 3 2 5" xfId="577" xr:uid="{00000000-0005-0000-0000-00006A040000}"/>
    <cellStyle name="Currency 3 3 3 2 5 2" xfId="1824" xr:uid="{00000000-0005-0000-0000-00006B040000}"/>
    <cellStyle name="Currency 3 3 3 2 6" xfId="1820" xr:uid="{00000000-0005-0000-0000-00006C040000}"/>
    <cellStyle name="Currency 3 3 3 3" xfId="578" xr:uid="{00000000-0005-0000-0000-00006D040000}"/>
    <cellStyle name="Currency 3 3 3 3 2" xfId="1825" xr:uid="{00000000-0005-0000-0000-00006E040000}"/>
    <cellStyle name="Currency 3 3 3 4" xfId="1819" xr:uid="{00000000-0005-0000-0000-00006F040000}"/>
    <cellStyle name="Currency 3 3 4" xfId="579" xr:uid="{00000000-0005-0000-0000-000070040000}"/>
    <cellStyle name="Currency 3 3 4 2" xfId="1826" xr:uid="{00000000-0005-0000-0000-000071040000}"/>
    <cellStyle name="Currency 3 3 5" xfId="580" xr:uid="{00000000-0005-0000-0000-000072040000}"/>
    <cellStyle name="Currency 3 3 5 2" xfId="581" xr:uid="{00000000-0005-0000-0000-000073040000}"/>
    <cellStyle name="Currency 3 3 5 2 2" xfId="1828" xr:uid="{00000000-0005-0000-0000-000074040000}"/>
    <cellStyle name="Currency 3 3 5 3" xfId="582" xr:uid="{00000000-0005-0000-0000-000075040000}"/>
    <cellStyle name="Currency 3 3 5 3 2" xfId="1829" xr:uid="{00000000-0005-0000-0000-000076040000}"/>
    <cellStyle name="Currency 3 3 5 4" xfId="583" xr:uid="{00000000-0005-0000-0000-000077040000}"/>
    <cellStyle name="Currency 3 3 5 4 2" xfId="1830" xr:uid="{00000000-0005-0000-0000-000078040000}"/>
    <cellStyle name="Currency 3 3 5 5" xfId="584" xr:uid="{00000000-0005-0000-0000-000079040000}"/>
    <cellStyle name="Currency 3 3 5 5 2" xfId="1831" xr:uid="{00000000-0005-0000-0000-00007A040000}"/>
    <cellStyle name="Currency 3 3 5 6" xfId="1827" xr:uid="{00000000-0005-0000-0000-00007B040000}"/>
    <cellStyle name="Currency 3 3 6" xfId="585" xr:uid="{00000000-0005-0000-0000-00007C040000}"/>
    <cellStyle name="Currency 3 3 6 2" xfId="1832" xr:uid="{00000000-0005-0000-0000-00007D040000}"/>
    <cellStyle name="Currency 3 3 7" xfId="1482" xr:uid="{00000000-0005-0000-0000-00007E040000}"/>
    <cellStyle name="Currency 3 4" xfId="586" xr:uid="{00000000-0005-0000-0000-00007F040000}"/>
    <cellStyle name="Currency 3 4 2" xfId="587" xr:uid="{00000000-0005-0000-0000-000080040000}"/>
    <cellStyle name="Currency 3 4 2 2" xfId="1834" xr:uid="{00000000-0005-0000-0000-000081040000}"/>
    <cellStyle name="Currency 3 4 3" xfId="588" xr:uid="{00000000-0005-0000-0000-000082040000}"/>
    <cellStyle name="Currency 3 4 3 2" xfId="1835" xr:uid="{00000000-0005-0000-0000-000083040000}"/>
    <cellStyle name="Currency 3 4 4" xfId="589" xr:uid="{00000000-0005-0000-0000-000084040000}"/>
    <cellStyle name="Currency 3 4 4 2" xfId="590" xr:uid="{00000000-0005-0000-0000-000085040000}"/>
    <cellStyle name="Currency 3 4 4 2 2" xfId="1837" xr:uid="{00000000-0005-0000-0000-000086040000}"/>
    <cellStyle name="Currency 3 4 4 3" xfId="591" xr:uid="{00000000-0005-0000-0000-000087040000}"/>
    <cellStyle name="Currency 3 4 4 3 2" xfId="1838" xr:uid="{00000000-0005-0000-0000-000088040000}"/>
    <cellStyle name="Currency 3 4 4 4" xfId="592" xr:uid="{00000000-0005-0000-0000-000089040000}"/>
    <cellStyle name="Currency 3 4 4 4 2" xfId="1839" xr:uid="{00000000-0005-0000-0000-00008A040000}"/>
    <cellStyle name="Currency 3 4 4 5" xfId="593" xr:uid="{00000000-0005-0000-0000-00008B040000}"/>
    <cellStyle name="Currency 3 4 4 5 2" xfId="1840" xr:uid="{00000000-0005-0000-0000-00008C040000}"/>
    <cellStyle name="Currency 3 4 4 6" xfId="1836" xr:uid="{00000000-0005-0000-0000-00008D040000}"/>
    <cellStyle name="Currency 3 4 5" xfId="594" xr:uid="{00000000-0005-0000-0000-00008E040000}"/>
    <cellStyle name="Currency 3 4 5 2" xfId="1841" xr:uid="{00000000-0005-0000-0000-00008F040000}"/>
    <cellStyle name="Currency 3 4 6" xfId="1521" xr:uid="{00000000-0005-0000-0000-000090040000}"/>
    <cellStyle name="Currency 3 4 6 2" xfId="2165" xr:uid="{00000000-0005-0000-0000-000091040000}"/>
    <cellStyle name="Currency 3 4 7" xfId="1833" xr:uid="{00000000-0005-0000-0000-000092040000}"/>
    <cellStyle name="Currency 3 5" xfId="595" xr:uid="{00000000-0005-0000-0000-000093040000}"/>
    <cellStyle name="Currency 3 5 2" xfId="596" xr:uid="{00000000-0005-0000-0000-000094040000}"/>
    <cellStyle name="Currency 3 5 2 2" xfId="1843" xr:uid="{00000000-0005-0000-0000-000095040000}"/>
    <cellStyle name="Currency 3 5 3" xfId="1842" xr:uid="{00000000-0005-0000-0000-000096040000}"/>
    <cellStyle name="Currency 3 6" xfId="597" xr:uid="{00000000-0005-0000-0000-000097040000}"/>
    <cellStyle name="Currency 3 6 2" xfId="1128" xr:uid="{00000000-0005-0000-0000-000098040000}"/>
    <cellStyle name="Currency 3 6 2 2" xfId="2095" xr:uid="{00000000-0005-0000-0000-000099040000}"/>
    <cellStyle name="Currency 3 6 3" xfId="1844" xr:uid="{00000000-0005-0000-0000-00009A040000}"/>
    <cellStyle name="Currency 3 7" xfId="598" xr:uid="{00000000-0005-0000-0000-00009B040000}"/>
    <cellStyle name="Currency 3 7 2" xfId="1845" xr:uid="{00000000-0005-0000-0000-00009C040000}"/>
    <cellStyle name="Currency 3 8" xfId="599" xr:uid="{00000000-0005-0000-0000-00009D040000}"/>
    <cellStyle name="Currency 3 8 2" xfId="1846" xr:uid="{00000000-0005-0000-0000-00009E040000}"/>
    <cellStyle name="Currency 3 9" xfId="600" xr:uid="{00000000-0005-0000-0000-00009F040000}"/>
    <cellStyle name="Currency 3 9 2" xfId="1847" xr:uid="{00000000-0005-0000-0000-0000A0040000}"/>
    <cellStyle name="Currency 4" xfId="601" xr:uid="{00000000-0005-0000-0000-0000A1040000}"/>
    <cellStyle name="Currency 4 10" xfId="602" xr:uid="{00000000-0005-0000-0000-0000A2040000}"/>
    <cellStyle name="Currency 4 10 2" xfId="603" xr:uid="{00000000-0005-0000-0000-0000A3040000}"/>
    <cellStyle name="Currency 4 10 2 2" xfId="604" xr:uid="{00000000-0005-0000-0000-0000A4040000}"/>
    <cellStyle name="Currency 4 10 2 2 2" xfId="605" xr:uid="{00000000-0005-0000-0000-0000A5040000}"/>
    <cellStyle name="Currency 4 10 2 3" xfId="606" xr:uid="{00000000-0005-0000-0000-0000A6040000}"/>
    <cellStyle name="Currency 4 10 2 3 2" xfId="607" xr:uid="{00000000-0005-0000-0000-0000A7040000}"/>
    <cellStyle name="Currency 4 10 2 4" xfId="608" xr:uid="{00000000-0005-0000-0000-0000A8040000}"/>
    <cellStyle name="Currency 4 10 2 5" xfId="609" xr:uid="{00000000-0005-0000-0000-0000A9040000}"/>
    <cellStyle name="Currency 4 10 2 6" xfId="610" xr:uid="{00000000-0005-0000-0000-0000AA040000}"/>
    <cellStyle name="Currency 4 10 2 6 2" xfId="1848" xr:uid="{00000000-0005-0000-0000-0000AB040000}"/>
    <cellStyle name="Currency 4 10 3" xfId="611" xr:uid="{00000000-0005-0000-0000-0000AC040000}"/>
    <cellStyle name="Currency 4 10 3 2" xfId="612" xr:uid="{00000000-0005-0000-0000-0000AD040000}"/>
    <cellStyle name="Currency 4 10 4" xfId="613" xr:uid="{00000000-0005-0000-0000-0000AE040000}"/>
    <cellStyle name="Currency 4 10 4 2" xfId="614" xr:uid="{00000000-0005-0000-0000-0000AF040000}"/>
    <cellStyle name="Currency 4 10 4 3" xfId="615" xr:uid="{00000000-0005-0000-0000-0000B0040000}"/>
    <cellStyle name="Currency 4 10 5" xfId="616" xr:uid="{00000000-0005-0000-0000-0000B1040000}"/>
    <cellStyle name="Currency 4 10 5 2" xfId="617" xr:uid="{00000000-0005-0000-0000-0000B2040000}"/>
    <cellStyle name="Currency 4 10 6" xfId="618" xr:uid="{00000000-0005-0000-0000-0000B3040000}"/>
    <cellStyle name="Currency 4 2" xfId="619" xr:uid="{00000000-0005-0000-0000-0000B4040000}"/>
    <cellStyle name="Currency 4 2 2" xfId="620" xr:uid="{00000000-0005-0000-0000-0000B5040000}"/>
    <cellStyle name="Currency 4 2 2 2" xfId="1850" xr:uid="{00000000-0005-0000-0000-0000B6040000}"/>
    <cellStyle name="Currency 4 2 3" xfId="621" xr:uid="{00000000-0005-0000-0000-0000B7040000}"/>
    <cellStyle name="Currency 4 2 3 2" xfId="1851" xr:uid="{00000000-0005-0000-0000-0000B8040000}"/>
    <cellStyle name="Currency 4 2 4" xfId="1849" xr:uid="{00000000-0005-0000-0000-0000B9040000}"/>
    <cellStyle name="Currency 4 3" xfId="622" xr:uid="{00000000-0005-0000-0000-0000BA040000}"/>
    <cellStyle name="Currency 4 3 2" xfId="623" xr:uid="{00000000-0005-0000-0000-0000BB040000}"/>
    <cellStyle name="Currency 4 3 2 2" xfId="624" xr:uid="{00000000-0005-0000-0000-0000BC040000}"/>
    <cellStyle name="Currency 4 3 2 2 2" xfId="1854" xr:uid="{00000000-0005-0000-0000-0000BD040000}"/>
    <cellStyle name="Currency 4 3 2 3" xfId="625" xr:uid="{00000000-0005-0000-0000-0000BE040000}"/>
    <cellStyle name="Currency 4 3 2 3 2" xfId="1855" xr:uid="{00000000-0005-0000-0000-0000BF040000}"/>
    <cellStyle name="Currency 4 3 2 4" xfId="626" xr:uid="{00000000-0005-0000-0000-0000C0040000}"/>
    <cellStyle name="Currency 4 3 2 4 2" xfId="1856" xr:uid="{00000000-0005-0000-0000-0000C1040000}"/>
    <cellStyle name="Currency 4 3 2 5" xfId="627" xr:uid="{00000000-0005-0000-0000-0000C2040000}"/>
    <cellStyle name="Currency 4 3 2 5 2" xfId="1857" xr:uid="{00000000-0005-0000-0000-0000C3040000}"/>
    <cellStyle name="Currency 4 3 2 6" xfId="1853" xr:uid="{00000000-0005-0000-0000-0000C4040000}"/>
    <cellStyle name="Currency 4 3 3" xfId="628" xr:uid="{00000000-0005-0000-0000-0000C5040000}"/>
    <cellStyle name="Currency 4 3 3 2" xfId="1858" xr:uid="{00000000-0005-0000-0000-0000C6040000}"/>
    <cellStyle name="Currency 4 3 4" xfId="1852" xr:uid="{00000000-0005-0000-0000-0000C7040000}"/>
    <cellStyle name="Currency 4 4" xfId="629" xr:uid="{00000000-0005-0000-0000-0000C8040000}"/>
    <cellStyle name="Currency 4 4 2" xfId="1859" xr:uid="{00000000-0005-0000-0000-0000C9040000}"/>
    <cellStyle name="Currency 4 5" xfId="630" xr:uid="{00000000-0005-0000-0000-0000CA040000}"/>
    <cellStyle name="Currency 4 5 2" xfId="631" xr:uid="{00000000-0005-0000-0000-0000CB040000}"/>
    <cellStyle name="Currency 4 5 2 2" xfId="1861" xr:uid="{00000000-0005-0000-0000-0000CC040000}"/>
    <cellStyle name="Currency 4 5 3" xfId="632" xr:uid="{00000000-0005-0000-0000-0000CD040000}"/>
    <cellStyle name="Currency 4 5 3 2" xfId="1862" xr:uid="{00000000-0005-0000-0000-0000CE040000}"/>
    <cellStyle name="Currency 4 5 4" xfId="633" xr:uid="{00000000-0005-0000-0000-0000CF040000}"/>
    <cellStyle name="Currency 4 5 4 2" xfId="1863" xr:uid="{00000000-0005-0000-0000-0000D0040000}"/>
    <cellStyle name="Currency 4 5 5" xfId="634" xr:uid="{00000000-0005-0000-0000-0000D1040000}"/>
    <cellStyle name="Currency 4 5 5 2" xfId="1864" xr:uid="{00000000-0005-0000-0000-0000D2040000}"/>
    <cellStyle name="Currency 4 5 6" xfId="1860" xr:uid="{00000000-0005-0000-0000-0000D3040000}"/>
    <cellStyle name="Currency 4 6" xfId="1160" xr:uid="{00000000-0005-0000-0000-0000D4040000}"/>
    <cellStyle name="Currency 4 6 2" xfId="2125" xr:uid="{00000000-0005-0000-0000-0000D5040000}"/>
    <cellStyle name="Currency 4 7" xfId="1370" xr:uid="{00000000-0005-0000-0000-0000D6040000}"/>
    <cellStyle name="Currency 5" xfId="635" xr:uid="{00000000-0005-0000-0000-0000D7040000}"/>
    <cellStyle name="Currency 5 2" xfId="636" xr:uid="{00000000-0005-0000-0000-0000D8040000}"/>
    <cellStyle name="Currency 5 2 2" xfId="1372" xr:uid="{00000000-0005-0000-0000-0000D9040000}"/>
    <cellStyle name="Currency 5 3" xfId="637" xr:uid="{00000000-0005-0000-0000-0000DA040000}"/>
    <cellStyle name="Currency 5 3 2" xfId="1865" xr:uid="{00000000-0005-0000-0000-0000DB040000}"/>
    <cellStyle name="Currency 5 4" xfId="638" xr:uid="{00000000-0005-0000-0000-0000DC040000}"/>
    <cellStyle name="Currency 5 4 2" xfId="639" xr:uid="{00000000-0005-0000-0000-0000DD040000}"/>
    <cellStyle name="Currency 5 4 2 2" xfId="1867" xr:uid="{00000000-0005-0000-0000-0000DE040000}"/>
    <cellStyle name="Currency 5 4 3" xfId="640" xr:uid="{00000000-0005-0000-0000-0000DF040000}"/>
    <cellStyle name="Currency 5 4 3 2" xfId="1868" xr:uid="{00000000-0005-0000-0000-0000E0040000}"/>
    <cellStyle name="Currency 5 4 4" xfId="641" xr:uid="{00000000-0005-0000-0000-0000E1040000}"/>
    <cellStyle name="Currency 5 4 4 2" xfId="1869" xr:uid="{00000000-0005-0000-0000-0000E2040000}"/>
    <cellStyle name="Currency 5 4 5" xfId="642" xr:uid="{00000000-0005-0000-0000-0000E3040000}"/>
    <cellStyle name="Currency 5 4 5 2" xfId="1870" xr:uid="{00000000-0005-0000-0000-0000E4040000}"/>
    <cellStyle name="Currency 5 4 6" xfId="1866" xr:uid="{00000000-0005-0000-0000-0000E5040000}"/>
    <cellStyle name="Currency 5 5" xfId="643" xr:uid="{00000000-0005-0000-0000-0000E6040000}"/>
    <cellStyle name="Currency 5 5 2" xfId="1871" xr:uid="{00000000-0005-0000-0000-0000E7040000}"/>
    <cellStyle name="Currency 5 6" xfId="1371" xr:uid="{00000000-0005-0000-0000-0000E8040000}"/>
    <cellStyle name="Currency 6" xfId="644" xr:uid="{00000000-0005-0000-0000-0000E9040000}"/>
    <cellStyle name="Currency 6 2" xfId="645" xr:uid="{00000000-0005-0000-0000-0000EA040000}"/>
    <cellStyle name="Currency 6 2 2" xfId="1373" xr:uid="{00000000-0005-0000-0000-0000EB040000}"/>
    <cellStyle name="Currency 6 2 3" xfId="1873" xr:uid="{00000000-0005-0000-0000-0000EC040000}"/>
    <cellStyle name="Currency 6 3" xfId="646" xr:uid="{00000000-0005-0000-0000-0000ED040000}"/>
    <cellStyle name="Currency 6 3 2" xfId="647" xr:uid="{00000000-0005-0000-0000-0000EE040000}"/>
    <cellStyle name="Currency 6 3 2 2" xfId="1875" xr:uid="{00000000-0005-0000-0000-0000EF040000}"/>
    <cellStyle name="Currency 6 3 3" xfId="648" xr:uid="{00000000-0005-0000-0000-0000F0040000}"/>
    <cellStyle name="Currency 6 3 3 2" xfId="1876" xr:uid="{00000000-0005-0000-0000-0000F1040000}"/>
    <cellStyle name="Currency 6 3 4" xfId="649" xr:uid="{00000000-0005-0000-0000-0000F2040000}"/>
    <cellStyle name="Currency 6 3 4 2" xfId="1877" xr:uid="{00000000-0005-0000-0000-0000F3040000}"/>
    <cellStyle name="Currency 6 3 5" xfId="650" xr:uid="{00000000-0005-0000-0000-0000F4040000}"/>
    <cellStyle name="Currency 6 3 5 2" xfId="1878" xr:uid="{00000000-0005-0000-0000-0000F5040000}"/>
    <cellStyle name="Currency 6 3 6" xfId="1874" xr:uid="{00000000-0005-0000-0000-0000F6040000}"/>
    <cellStyle name="Currency 6 4" xfId="651" xr:uid="{00000000-0005-0000-0000-0000F7040000}"/>
    <cellStyle name="Currency 6 4 2" xfId="652" xr:uid="{00000000-0005-0000-0000-0000F8040000}"/>
    <cellStyle name="Currency 6 4 3" xfId="653" xr:uid="{00000000-0005-0000-0000-0000F9040000}"/>
    <cellStyle name="Currency 6 5" xfId="1161" xr:uid="{00000000-0005-0000-0000-0000FA040000}"/>
    <cellStyle name="Currency 6 5 2" xfId="2126" xr:uid="{00000000-0005-0000-0000-0000FB040000}"/>
    <cellStyle name="Currency 6 6" xfId="1872" xr:uid="{00000000-0005-0000-0000-0000FC040000}"/>
    <cellStyle name="Currency 7" xfId="654" xr:uid="{00000000-0005-0000-0000-0000FD040000}"/>
    <cellStyle name="Currency 7 2" xfId="1204" xr:uid="{00000000-0005-0000-0000-0000FE040000}"/>
    <cellStyle name="Currency 7 3" xfId="1879" xr:uid="{00000000-0005-0000-0000-0000FF040000}"/>
    <cellStyle name="Currency 8" xfId="655" xr:uid="{00000000-0005-0000-0000-000000050000}"/>
    <cellStyle name="Currency 8 2" xfId="1481" xr:uid="{00000000-0005-0000-0000-000001050000}"/>
    <cellStyle name="Currency 9" xfId="656" xr:uid="{00000000-0005-0000-0000-000002050000}"/>
    <cellStyle name="Currency 9 2" xfId="1880" xr:uid="{00000000-0005-0000-0000-000003050000}"/>
    <cellStyle name="Currency0" xfId="657" xr:uid="{00000000-0005-0000-0000-000004050000}"/>
    <cellStyle name="Currency0 2" xfId="658" xr:uid="{00000000-0005-0000-0000-000005050000}"/>
    <cellStyle name="Currency0 2 2" xfId="659" xr:uid="{00000000-0005-0000-0000-000006050000}"/>
    <cellStyle name="Currency0 2 3" xfId="660" xr:uid="{00000000-0005-0000-0000-000007050000}"/>
    <cellStyle name="Currency0 2 3 2" xfId="1881" xr:uid="{00000000-0005-0000-0000-000008050000}"/>
    <cellStyle name="Currency0 2 4" xfId="661" xr:uid="{00000000-0005-0000-0000-000009050000}"/>
    <cellStyle name="Currency0 2 5" xfId="662" xr:uid="{00000000-0005-0000-0000-00000A050000}"/>
    <cellStyle name="Currency0 2 5 2" xfId="1882" xr:uid="{00000000-0005-0000-0000-00000B050000}"/>
    <cellStyle name="Currency0 2 6" xfId="663" xr:uid="{00000000-0005-0000-0000-00000C050000}"/>
    <cellStyle name="Currency0 2 6 2" xfId="1883" xr:uid="{00000000-0005-0000-0000-00000D050000}"/>
    <cellStyle name="Currency0 3" xfId="664" xr:uid="{00000000-0005-0000-0000-00000E050000}"/>
    <cellStyle name="Currency0 4" xfId="1374" xr:uid="{00000000-0005-0000-0000-00000F050000}"/>
    <cellStyle name="Date" xfId="665" xr:uid="{00000000-0005-0000-0000-000010050000}"/>
    <cellStyle name="Date 2" xfId="666" xr:uid="{00000000-0005-0000-0000-000011050000}"/>
    <cellStyle name="Date 2 2" xfId="667" xr:uid="{00000000-0005-0000-0000-000012050000}"/>
    <cellStyle name="Date 2 3" xfId="668" xr:uid="{00000000-0005-0000-0000-000013050000}"/>
    <cellStyle name="Date 2 3 2" xfId="1884" xr:uid="{00000000-0005-0000-0000-000014050000}"/>
    <cellStyle name="Date 2 4" xfId="669" xr:uid="{00000000-0005-0000-0000-000015050000}"/>
    <cellStyle name="Date 2 5" xfId="670" xr:uid="{00000000-0005-0000-0000-000016050000}"/>
    <cellStyle name="Date 2 5 2" xfId="1885" xr:uid="{00000000-0005-0000-0000-000017050000}"/>
    <cellStyle name="Date 2 6" xfId="671" xr:uid="{00000000-0005-0000-0000-000018050000}"/>
    <cellStyle name="Date 2 6 2" xfId="1886" xr:uid="{00000000-0005-0000-0000-000019050000}"/>
    <cellStyle name="Date 3" xfId="672" xr:uid="{00000000-0005-0000-0000-00001A050000}"/>
    <cellStyle name="Date 4" xfId="1375" xr:uid="{00000000-0005-0000-0000-00001B050000}"/>
    <cellStyle name="Explanatory Text" xfId="673" builtinId="53" customBuiltin="1"/>
    <cellStyle name="Explanatory Text 2" xfId="674" xr:uid="{00000000-0005-0000-0000-00001D050000}"/>
    <cellStyle name="Explanatory Text 2 2" xfId="675" xr:uid="{00000000-0005-0000-0000-00001E050000}"/>
    <cellStyle name="Explanatory Text 2 3" xfId="676" xr:uid="{00000000-0005-0000-0000-00001F050000}"/>
    <cellStyle name="Explanatory Text 2 4" xfId="677" xr:uid="{00000000-0005-0000-0000-000020050000}"/>
    <cellStyle name="Explanatory Text 2 5" xfId="678" xr:uid="{00000000-0005-0000-0000-000021050000}"/>
    <cellStyle name="Explanatory Text 3" xfId="1376" xr:uid="{00000000-0005-0000-0000-000022050000}"/>
    <cellStyle name="Explanatory Text 4" xfId="1484" xr:uid="{00000000-0005-0000-0000-000023050000}"/>
    <cellStyle name="Fixed" xfId="679" xr:uid="{00000000-0005-0000-0000-000024050000}"/>
    <cellStyle name="Fixed 2" xfId="680" xr:uid="{00000000-0005-0000-0000-000025050000}"/>
    <cellStyle name="Fixed 2 2" xfId="681" xr:uid="{00000000-0005-0000-0000-000026050000}"/>
    <cellStyle name="Fixed 2 3" xfId="682" xr:uid="{00000000-0005-0000-0000-000027050000}"/>
    <cellStyle name="Fixed 2 3 2" xfId="1887" xr:uid="{00000000-0005-0000-0000-000028050000}"/>
    <cellStyle name="Fixed 2 4" xfId="683" xr:uid="{00000000-0005-0000-0000-000029050000}"/>
    <cellStyle name="Fixed 2 5" xfId="684" xr:uid="{00000000-0005-0000-0000-00002A050000}"/>
    <cellStyle name="Fixed 2 5 2" xfId="1888" xr:uid="{00000000-0005-0000-0000-00002B050000}"/>
    <cellStyle name="Fixed 2 6" xfId="685" xr:uid="{00000000-0005-0000-0000-00002C050000}"/>
    <cellStyle name="Fixed 2 6 2" xfId="1889" xr:uid="{00000000-0005-0000-0000-00002D050000}"/>
    <cellStyle name="Fixed 3" xfId="686" xr:uid="{00000000-0005-0000-0000-00002E050000}"/>
    <cellStyle name="Fixed 4" xfId="1377" xr:uid="{00000000-0005-0000-0000-00002F050000}"/>
    <cellStyle name="Good" xfId="687" builtinId="26" customBuiltin="1"/>
    <cellStyle name="Good 2" xfId="688" xr:uid="{00000000-0005-0000-0000-000031050000}"/>
    <cellStyle name="Good 2 2" xfId="689" xr:uid="{00000000-0005-0000-0000-000032050000}"/>
    <cellStyle name="Good 2 3" xfId="690" xr:uid="{00000000-0005-0000-0000-000033050000}"/>
    <cellStyle name="Good 2 4" xfId="691" xr:uid="{00000000-0005-0000-0000-000034050000}"/>
    <cellStyle name="Good 2 5" xfId="692" xr:uid="{00000000-0005-0000-0000-000035050000}"/>
    <cellStyle name="Good 3" xfId="1378" xr:uid="{00000000-0005-0000-0000-000036050000}"/>
    <cellStyle name="Good 4" xfId="1485" xr:uid="{00000000-0005-0000-0000-000037050000}"/>
    <cellStyle name="Heading 1" xfId="693" builtinId="16" customBuiltin="1"/>
    <cellStyle name="Heading 1 2" xfId="694" xr:uid="{00000000-0005-0000-0000-000039050000}"/>
    <cellStyle name="Heading 1 2 2" xfId="695" xr:uid="{00000000-0005-0000-0000-00003A050000}"/>
    <cellStyle name="Heading 1 2 3" xfId="696" xr:uid="{00000000-0005-0000-0000-00003B050000}"/>
    <cellStyle name="Heading 1 2 4" xfId="697" xr:uid="{00000000-0005-0000-0000-00003C050000}"/>
    <cellStyle name="Heading 1 2 5" xfId="698" xr:uid="{00000000-0005-0000-0000-00003D050000}"/>
    <cellStyle name="Heading 1 2 6" xfId="1379" xr:uid="{00000000-0005-0000-0000-00003E050000}"/>
    <cellStyle name="Heading 1 3" xfId="699" xr:uid="{00000000-0005-0000-0000-00003F050000}"/>
    <cellStyle name="Heading 1 3 2" xfId="700" xr:uid="{00000000-0005-0000-0000-000040050000}"/>
    <cellStyle name="Heading 1 3 3" xfId="1380" xr:uid="{00000000-0005-0000-0000-000041050000}"/>
    <cellStyle name="Heading 1 4" xfId="1381" xr:uid="{00000000-0005-0000-0000-000042050000}"/>
    <cellStyle name="Heading 2" xfId="701" builtinId="17" customBuiltin="1"/>
    <cellStyle name="Heading 2 2" xfId="702" xr:uid="{00000000-0005-0000-0000-000044050000}"/>
    <cellStyle name="Heading 2 2 2" xfId="703" xr:uid="{00000000-0005-0000-0000-000045050000}"/>
    <cellStyle name="Heading 2 2 3" xfId="704" xr:uid="{00000000-0005-0000-0000-000046050000}"/>
    <cellStyle name="Heading 2 2 4" xfId="705" xr:uid="{00000000-0005-0000-0000-000047050000}"/>
    <cellStyle name="Heading 2 2 5" xfId="706" xr:uid="{00000000-0005-0000-0000-000048050000}"/>
    <cellStyle name="Heading 2 2 6" xfId="1382" xr:uid="{00000000-0005-0000-0000-000049050000}"/>
    <cellStyle name="Heading 2 3" xfId="707" xr:uid="{00000000-0005-0000-0000-00004A050000}"/>
    <cellStyle name="Heading 2 3 2" xfId="708" xr:uid="{00000000-0005-0000-0000-00004B050000}"/>
    <cellStyle name="Heading 2 3 3" xfId="1383" xr:uid="{00000000-0005-0000-0000-00004C050000}"/>
    <cellStyle name="Heading 2 4" xfId="1384" xr:uid="{00000000-0005-0000-0000-00004D050000}"/>
    <cellStyle name="Heading 3" xfId="709" builtinId="18" customBuiltin="1"/>
    <cellStyle name="Heading 3 2" xfId="710" xr:uid="{00000000-0005-0000-0000-00004F050000}"/>
    <cellStyle name="Heading 3 2 2" xfId="711" xr:uid="{00000000-0005-0000-0000-000050050000}"/>
    <cellStyle name="Heading 3 2 3" xfId="712" xr:uid="{00000000-0005-0000-0000-000051050000}"/>
    <cellStyle name="Heading 3 2 4" xfId="713" xr:uid="{00000000-0005-0000-0000-000052050000}"/>
    <cellStyle name="Heading 3 2 5" xfId="714" xr:uid="{00000000-0005-0000-0000-000053050000}"/>
    <cellStyle name="Heading 3 2 6" xfId="1385" xr:uid="{00000000-0005-0000-0000-000054050000}"/>
    <cellStyle name="Heading 3 3" xfId="1386" xr:uid="{00000000-0005-0000-0000-000055050000}"/>
    <cellStyle name="Heading 3 4" xfId="1387" xr:uid="{00000000-0005-0000-0000-000056050000}"/>
    <cellStyle name="Heading 3 5" xfId="1486" xr:uid="{00000000-0005-0000-0000-000057050000}"/>
    <cellStyle name="Heading 4" xfId="715" builtinId="19" customBuiltin="1"/>
    <cellStyle name="Heading 4 2" xfId="716" xr:uid="{00000000-0005-0000-0000-000059050000}"/>
    <cellStyle name="Heading 4 2 2" xfId="717" xr:uid="{00000000-0005-0000-0000-00005A050000}"/>
    <cellStyle name="Heading 4 2 3" xfId="718" xr:uid="{00000000-0005-0000-0000-00005B050000}"/>
    <cellStyle name="Heading 4 2 4" xfId="719" xr:uid="{00000000-0005-0000-0000-00005C050000}"/>
    <cellStyle name="Heading 4 2 5" xfId="720" xr:uid="{00000000-0005-0000-0000-00005D050000}"/>
    <cellStyle name="Heading 4 2 6" xfId="1388" xr:uid="{00000000-0005-0000-0000-00005E050000}"/>
    <cellStyle name="Heading 4 3" xfId="1389" xr:uid="{00000000-0005-0000-0000-00005F050000}"/>
    <cellStyle name="Heading 4 4" xfId="1390" xr:uid="{00000000-0005-0000-0000-000060050000}"/>
    <cellStyle name="Heading 4 5" xfId="1487" xr:uid="{00000000-0005-0000-0000-000061050000}"/>
    <cellStyle name="Heading1" xfId="721" xr:uid="{00000000-0005-0000-0000-000062050000}"/>
    <cellStyle name="Heading2" xfId="722" xr:uid="{00000000-0005-0000-0000-000063050000}"/>
    <cellStyle name="Hyperlink 2" xfId="1391" xr:uid="{00000000-0005-0000-0000-000064050000}"/>
    <cellStyle name="Hyperlink 3" xfId="1392" xr:uid="{00000000-0005-0000-0000-000065050000}"/>
    <cellStyle name="Hyperlink 4" xfId="1393" xr:uid="{00000000-0005-0000-0000-000066050000}"/>
    <cellStyle name="Input" xfId="723" builtinId="20" customBuiltin="1"/>
    <cellStyle name="Input 2" xfId="724" xr:uid="{00000000-0005-0000-0000-000068050000}"/>
    <cellStyle name="Input 2 2" xfId="725" xr:uid="{00000000-0005-0000-0000-000069050000}"/>
    <cellStyle name="Input 2 3" xfId="726" xr:uid="{00000000-0005-0000-0000-00006A050000}"/>
    <cellStyle name="Input 2 4" xfId="727" xr:uid="{00000000-0005-0000-0000-00006B050000}"/>
    <cellStyle name="Input 2 5" xfId="728" xr:uid="{00000000-0005-0000-0000-00006C050000}"/>
    <cellStyle name="Input 3" xfId="1394" xr:uid="{00000000-0005-0000-0000-00006D050000}"/>
    <cellStyle name="Input 4" xfId="1488" xr:uid="{00000000-0005-0000-0000-00006E050000}"/>
    <cellStyle name="Linked Cell" xfId="729" builtinId="24" customBuiltin="1"/>
    <cellStyle name="Linked Cell 2" xfId="730" xr:uid="{00000000-0005-0000-0000-000070050000}"/>
    <cellStyle name="Linked Cell 2 2" xfId="731" xr:uid="{00000000-0005-0000-0000-000071050000}"/>
    <cellStyle name="Linked Cell 2 3" xfId="732" xr:uid="{00000000-0005-0000-0000-000072050000}"/>
    <cellStyle name="Linked Cell 2 4" xfId="733" xr:uid="{00000000-0005-0000-0000-000073050000}"/>
    <cellStyle name="Linked Cell 2 5" xfId="734" xr:uid="{00000000-0005-0000-0000-000074050000}"/>
    <cellStyle name="Linked Cell 3" xfId="1395" xr:uid="{00000000-0005-0000-0000-000075050000}"/>
    <cellStyle name="Linked Cell 4" xfId="1489" xr:uid="{00000000-0005-0000-0000-000076050000}"/>
    <cellStyle name="M" xfId="735" xr:uid="{00000000-0005-0000-0000-000077050000}"/>
    <cellStyle name="M 2" xfId="736" xr:uid="{00000000-0005-0000-0000-000078050000}"/>
    <cellStyle name="M 2 2" xfId="737" xr:uid="{00000000-0005-0000-0000-000079050000}"/>
    <cellStyle name="M 2 2 2" xfId="738" xr:uid="{00000000-0005-0000-0000-00007A050000}"/>
    <cellStyle name="M 2 2 2 2" xfId="1893" xr:uid="{00000000-0005-0000-0000-00007B050000}"/>
    <cellStyle name="M 2 2 3" xfId="1892" xr:uid="{00000000-0005-0000-0000-00007C050000}"/>
    <cellStyle name="M 2 3" xfId="1891" xr:uid="{00000000-0005-0000-0000-00007D050000}"/>
    <cellStyle name="M 3" xfId="739" xr:uid="{00000000-0005-0000-0000-00007E050000}"/>
    <cellStyle name="M 3 2" xfId="740" xr:uid="{00000000-0005-0000-0000-00007F050000}"/>
    <cellStyle name="M 3 2 2" xfId="741" xr:uid="{00000000-0005-0000-0000-000080050000}"/>
    <cellStyle name="M 3 2 2 2" xfId="1896" xr:uid="{00000000-0005-0000-0000-000081050000}"/>
    <cellStyle name="M 3 2 3" xfId="1895" xr:uid="{00000000-0005-0000-0000-000082050000}"/>
    <cellStyle name="M 3 3" xfId="1894" xr:uid="{00000000-0005-0000-0000-000083050000}"/>
    <cellStyle name="M 4" xfId="742" xr:uid="{00000000-0005-0000-0000-000084050000}"/>
    <cellStyle name="M 4 2" xfId="1897" xr:uid="{00000000-0005-0000-0000-000085050000}"/>
    <cellStyle name="M 5" xfId="743" xr:uid="{00000000-0005-0000-0000-000086050000}"/>
    <cellStyle name="M 5 2" xfId="744" xr:uid="{00000000-0005-0000-0000-000087050000}"/>
    <cellStyle name="M 5 2 2" xfId="1899" xr:uid="{00000000-0005-0000-0000-000088050000}"/>
    <cellStyle name="M 5 3" xfId="1898" xr:uid="{00000000-0005-0000-0000-000089050000}"/>
    <cellStyle name="M 6" xfId="745" xr:uid="{00000000-0005-0000-0000-00008A050000}"/>
    <cellStyle name="M 6 2" xfId="746" xr:uid="{00000000-0005-0000-0000-00008B050000}"/>
    <cellStyle name="M 6 2 2" xfId="1901" xr:uid="{00000000-0005-0000-0000-00008C050000}"/>
    <cellStyle name="M 6 3" xfId="1900" xr:uid="{00000000-0005-0000-0000-00008D050000}"/>
    <cellStyle name="M 7" xfId="747" xr:uid="{00000000-0005-0000-0000-00008E050000}"/>
    <cellStyle name="M 7 2" xfId="1902" xr:uid="{00000000-0005-0000-0000-00008F050000}"/>
    <cellStyle name="M 8" xfId="1890" xr:uid="{00000000-0005-0000-0000-000090050000}"/>
    <cellStyle name="Neutral" xfId="748" builtinId="28" customBuiltin="1"/>
    <cellStyle name="Neutral 2" xfId="749" xr:uid="{00000000-0005-0000-0000-000092050000}"/>
    <cellStyle name="Neutral 2 2" xfId="750" xr:uid="{00000000-0005-0000-0000-000093050000}"/>
    <cellStyle name="Neutral 2 3" xfId="751" xr:uid="{00000000-0005-0000-0000-000094050000}"/>
    <cellStyle name="Neutral 2 4" xfId="752" xr:uid="{00000000-0005-0000-0000-000095050000}"/>
    <cellStyle name="Neutral 2 5" xfId="753" xr:uid="{00000000-0005-0000-0000-000096050000}"/>
    <cellStyle name="Neutral 3" xfId="1396" xr:uid="{00000000-0005-0000-0000-000097050000}"/>
    <cellStyle name="Neutral 4" xfId="1490" xr:uid="{00000000-0005-0000-0000-000098050000}"/>
    <cellStyle name="Normal" xfId="0" builtinId="0"/>
    <cellStyle name="Normal 10" xfId="754" xr:uid="{00000000-0005-0000-0000-00009A050000}"/>
    <cellStyle name="Normal 10 2" xfId="755" xr:uid="{00000000-0005-0000-0000-00009B050000}"/>
    <cellStyle name="Normal 10 2 2" xfId="756" xr:uid="{00000000-0005-0000-0000-00009C050000}"/>
    <cellStyle name="Normal 10 2 2 2" xfId="1904" xr:uid="{00000000-0005-0000-0000-00009D050000}"/>
    <cellStyle name="Normal 10 2 3" xfId="1398" xr:uid="{00000000-0005-0000-0000-00009E050000}"/>
    <cellStyle name="Normal 10 3" xfId="757" xr:uid="{00000000-0005-0000-0000-00009F050000}"/>
    <cellStyle name="Normal 10 3 2" xfId="1905" xr:uid="{00000000-0005-0000-0000-0000A0050000}"/>
    <cellStyle name="Normal 10 4" xfId="1397" xr:uid="{00000000-0005-0000-0000-0000A1050000}"/>
    <cellStyle name="Normal 10 5" xfId="1903" xr:uid="{00000000-0005-0000-0000-0000A2050000}"/>
    <cellStyle name="Normal 11" xfId="758" xr:uid="{00000000-0005-0000-0000-0000A3050000}"/>
    <cellStyle name="Normal 11 2" xfId="759" xr:uid="{00000000-0005-0000-0000-0000A4050000}"/>
    <cellStyle name="Normal 11 2 2" xfId="760" xr:uid="{00000000-0005-0000-0000-0000A5050000}"/>
    <cellStyle name="Normal 11 2 2 2" xfId="1528" xr:uid="{00000000-0005-0000-0000-0000A6050000}"/>
    <cellStyle name="Normal 11 2 3" xfId="1400" xr:uid="{00000000-0005-0000-0000-0000A7050000}"/>
    <cellStyle name="Normal 11 3" xfId="761" xr:uid="{00000000-0005-0000-0000-0000A8050000}"/>
    <cellStyle name="Normal 11 3 2" xfId="1162" xr:uid="{00000000-0005-0000-0000-0000A9050000}"/>
    <cellStyle name="Normal 11 3 2 2" xfId="2127" xr:uid="{00000000-0005-0000-0000-0000AA050000}"/>
    <cellStyle name="Normal 11 3 3" xfId="1906" xr:uid="{00000000-0005-0000-0000-0000AB050000}"/>
    <cellStyle name="Normal 11 4" xfId="762" xr:uid="{00000000-0005-0000-0000-0000AC050000}"/>
    <cellStyle name="Normal 11 4 2" xfId="1907" xr:uid="{00000000-0005-0000-0000-0000AD050000}"/>
    <cellStyle name="Normal 11 5" xfId="1399" xr:uid="{00000000-0005-0000-0000-0000AE050000}"/>
    <cellStyle name="Normal 12" xfId="763" xr:uid="{00000000-0005-0000-0000-0000AF050000}"/>
    <cellStyle name="Normal 12 2" xfId="764" xr:uid="{00000000-0005-0000-0000-0000B0050000}"/>
    <cellStyle name="Normal 12 2 2" xfId="1163" xr:uid="{00000000-0005-0000-0000-0000B1050000}"/>
    <cellStyle name="Normal 12 2 2 2" xfId="2128" xr:uid="{00000000-0005-0000-0000-0000B2050000}"/>
    <cellStyle name="Normal 12 2 3" xfId="1402" xr:uid="{00000000-0005-0000-0000-0000B3050000}"/>
    <cellStyle name="Normal 12 3" xfId="765" xr:uid="{00000000-0005-0000-0000-0000B4050000}"/>
    <cellStyle name="Normal 12 4" xfId="766" xr:uid="{00000000-0005-0000-0000-0000B5050000}"/>
    <cellStyle name="Normal 12 4 2" xfId="1164" xr:uid="{00000000-0005-0000-0000-0000B6050000}"/>
    <cellStyle name="Normal 12 4 2 2" xfId="2129" xr:uid="{00000000-0005-0000-0000-0000B7050000}"/>
    <cellStyle name="Normal 12 4 3" xfId="1909" xr:uid="{00000000-0005-0000-0000-0000B8050000}"/>
    <cellStyle name="Normal 12 5" xfId="767" xr:uid="{00000000-0005-0000-0000-0000B9050000}"/>
    <cellStyle name="Normal 12 5 2" xfId="1910" xr:uid="{00000000-0005-0000-0000-0000BA050000}"/>
    <cellStyle name="Normal 12 6" xfId="1401" xr:uid="{00000000-0005-0000-0000-0000BB050000}"/>
    <cellStyle name="Normal 12 7" xfId="1908" xr:uid="{00000000-0005-0000-0000-0000BC050000}"/>
    <cellStyle name="Normal 13" xfId="768" xr:uid="{00000000-0005-0000-0000-0000BD050000}"/>
    <cellStyle name="Normal 13 2" xfId="1129" xr:uid="{00000000-0005-0000-0000-0000BE050000}"/>
    <cellStyle name="Normal 13 2 2" xfId="2096" xr:uid="{00000000-0005-0000-0000-0000BF050000}"/>
    <cellStyle name="Normal 13 3" xfId="1403" xr:uid="{00000000-0005-0000-0000-0000C0050000}"/>
    <cellStyle name="Normal 13 4" xfId="1911" xr:uid="{00000000-0005-0000-0000-0000C1050000}"/>
    <cellStyle name="Normal 14" xfId="769" xr:uid="{00000000-0005-0000-0000-0000C2050000}"/>
    <cellStyle name="Normal 14 2" xfId="1130" xr:uid="{00000000-0005-0000-0000-0000C3050000}"/>
    <cellStyle name="Normal 14 2 2" xfId="2097" xr:uid="{00000000-0005-0000-0000-0000C4050000}"/>
    <cellStyle name="Normal 14 3" xfId="1404" xr:uid="{00000000-0005-0000-0000-0000C5050000}"/>
    <cellStyle name="Normal 14 3 2" xfId="2159" xr:uid="{00000000-0005-0000-0000-0000C6050000}"/>
    <cellStyle name="Normal 14 4" xfId="1912" xr:uid="{00000000-0005-0000-0000-0000C7050000}"/>
    <cellStyle name="Normal 15" xfId="770" xr:uid="{00000000-0005-0000-0000-0000C8050000}"/>
    <cellStyle name="Normal 15 2" xfId="1206" xr:uid="{00000000-0005-0000-0000-0000C9050000}"/>
    <cellStyle name="Normal 16" xfId="771" xr:uid="{00000000-0005-0000-0000-0000CA050000}"/>
    <cellStyle name="Normal 16 2" xfId="1131" xr:uid="{00000000-0005-0000-0000-0000CB050000}"/>
    <cellStyle name="Normal 16 2 2" xfId="2098" xr:uid="{00000000-0005-0000-0000-0000CC050000}"/>
    <cellStyle name="Normal 16 3" xfId="1207" xr:uid="{00000000-0005-0000-0000-0000CD050000}"/>
    <cellStyle name="Normal 16 3 2" xfId="2154" xr:uid="{00000000-0005-0000-0000-0000CE050000}"/>
    <cellStyle name="Normal 16 4" xfId="1913" xr:uid="{00000000-0005-0000-0000-0000CF050000}"/>
    <cellStyle name="Normal 17" xfId="772" xr:uid="{00000000-0005-0000-0000-0000D0050000}"/>
    <cellStyle name="Normal 17 2" xfId="1132" xr:uid="{00000000-0005-0000-0000-0000D1050000}"/>
    <cellStyle name="Normal 17 2 2" xfId="2099" xr:uid="{00000000-0005-0000-0000-0000D2050000}"/>
    <cellStyle name="Normal 17 3" xfId="1202" xr:uid="{00000000-0005-0000-0000-0000D3050000}"/>
    <cellStyle name="Normal 17 3 2" xfId="2153" xr:uid="{00000000-0005-0000-0000-0000D4050000}"/>
    <cellStyle name="Normal 17 4" xfId="1914" xr:uid="{00000000-0005-0000-0000-0000D5050000}"/>
    <cellStyle name="Normal 18" xfId="773" xr:uid="{00000000-0005-0000-0000-0000D6050000}"/>
    <cellStyle name="Normal 18 2" xfId="1133" xr:uid="{00000000-0005-0000-0000-0000D7050000}"/>
    <cellStyle name="Normal 18 2 2" xfId="2100" xr:uid="{00000000-0005-0000-0000-0000D8050000}"/>
    <cellStyle name="Normal 18 3" xfId="1209" xr:uid="{00000000-0005-0000-0000-0000D9050000}"/>
    <cellStyle name="Normal 18 3 2" xfId="2155" xr:uid="{00000000-0005-0000-0000-0000DA050000}"/>
    <cellStyle name="Normal 18 4" xfId="1915" xr:uid="{00000000-0005-0000-0000-0000DB050000}"/>
    <cellStyle name="Normal 19" xfId="774" xr:uid="{00000000-0005-0000-0000-0000DC050000}"/>
    <cellStyle name="Normal 19 2" xfId="1134" xr:uid="{00000000-0005-0000-0000-0000DD050000}"/>
    <cellStyle name="Normal 19 2 2" xfId="2101" xr:uid="{00000000-0005-0000-0000-0000DE050000}"/>
    <cellStyle name="Normal 19 3" xfId="1203" xr:uid="{00000000-0005-0000-0000-0000DF050000}"/>
    <cellStyle name="Normal 19 4" xfId="1916" xr:uid="{00000000-0005-0000-0000-0000E0050000}"/>
    <cellStyle name="Normal 2" xfId="775" xr:uid="{00000000-0005-0000-0000-0000E1050000}"/>
    <cellStyle name="Normal 2 2" xfId="776" xr:uid="{00000000-0005-0000-0000-0000E2050000}"/>
    <cellStyle name="Normal 2 2 2" xfId="777" xr:uid="{00000000-0005-0000-0000-0000E3050000}"/>
    <cellStyle name="Normal 2 2 2 2" xfId="778" xr:uid="{00000000-0005-0000-0000-0000E4050000}"/>
    <cellStyle name="Normal 2 2 2 3" xfId="1917" xr:uid="{00000000-0005-0000-0000-0000E5050000}"/>
    <cellStyle name="Normal 2 2 3" xfId="779" xr:uid="{00000000-0005-0000-0000-0000E6050000}"/>
    <cellStyle name="Normal 2 2 3 2" xfId="780" xr:uid="{00000000-0005-0000-0000-0000E7050000}"/>
    <cellStyle name="Normal 2 2 3 2 2" xfId="1918" xr:uid="{00000000-0005-0000-0000-0000E8050000}"/>
    <cellStyle name="Normal 2 2 4" xfId="781" xr:uid="{00000000-0005-0000-0000-0000E9050000}"/>
    <cellStyle name="Normal 2 2 4 2" xfId="1919" xr:uid="{00000000-0005-0000-0000-0000EA050000}"/>
    <cellStyle name="Normal 2 2 5" xfId="1208" xr:uid="{00000000-0005-0000-0000-0000EB050000}"/>
    <cellStyle name="Normal 2 3" xfId="782" xr:uid="{00000000-0005-0000-0000-0000EC050000}"/>
    <cellStyle name="Normal 2 3 2" xfId="1406" xr:uid="{00000000-0005-0000-0000-0000ED050000}"/>
    <cellStyle name="Normal 2 4" xfId="1178" xr:uid="{00000000-0005-0000-0000-0000EE050000}"/>
    <cellStyle name="Normal 2 4 2" xfId="1407" xr:uid="{00000000-0005-0000-0000-0000EF050000}"/>
    <cellStyle name="Normal 2 4 3" xfId="2187" xr:uid="{00000000-0005-0000-0000-0000F0050000}"/>
    <cellStyle name="Normal 2 5" xfId="1125" xr:uid="{00000000-0005-0000-0000-0000F1050000}"/>
    <cellStyle name="Normal 2 5 2" xfId="1135" xr:uid="{00000000-0005-0000-0000-0000F2050000}"/>
    <cellStyle name="Normal 2 5 2 2" xfId="1523" xr:uid="{00000000-0005-0000-0000-0000F3050000}"/>
    <cellStyle name="Normal 2 5 3" xfId="1522" xr:uid="{00000000-0005-0000-0000-0000F4050000}"/>
    <cellStyle name="Normal 2 5 3 2" xfId="2166" xr:uid="{00000000-0005-0000-0000-0000F5050000}"/>
    <cellStyle name="Normal 2 6" xfId="1405" xr:uid="{00000000-0005-0000-0000-0000F6050000}"/>
    <cellStyle name="Normal 2 7" xfId="2169" xr:uid="{00000000-0005-0000-0000-0000F7050000}"/>
    <cellStyle name="Normal 20" xfId="783" xr:uid="{00000000-0005-0000-0000-0000F8050000}"/>
    <cellStyle name="Normal 20 2" xfId="1136" xr:uid="{00000000-0005-0000-0000-0000F9050000}"/>
    <cellStyle name="Normal 20 2 2" xfId="2102" xr:uid="{00000000-0005-0000-0000-0000FA050000}"/>
    <cellStyle name="Normal 20 3" xfId="1519" xr:uid="{00000000-0005-0000-0000-0000FB050000}"/>
    <cellStyle name="Normal 20 4" xfId="1920" xr:uid="{00000000-0005-0000-0000-0000FC050000}"/>
    <cellStyle name="Normal 21" xfId="784" xr:uid="{00000000-0005-0000-0000-0000FD050000}"/>
    <cellStyle name="Normal 21 2" xfId="1137" xr:uid="{00000000-0005-0000-0000-0000FE050000}"/>
    <cellStyle name="Normal 21 2 2" xfId="2103" xr:uid="{00000000-0005-0000-0000-0000FF050000}"/>
    <cellStyle name="Normal 21 3" xfId="1921" xr:uid="{00000000-0005-0000-0000-000000060000}"/>
    <cellStyle name="Normal 22" xfId="785" xr:uid="{00000000-0005-0000-0000-000001060000}"/>
    <cellStyle name="Normal 22 2" xfId="1138" xr:uid="{00000000-0005-0000-0000-000002060000}"/>
    <cellStyle name="Normal 22 2 2" xfId="2104" xr:uid="{00000000-0005-0000-0000-000003060000}"/>
    <cellStyle name="Normal 22 3" xfId="1922" xr:uid="{00000000-0005-0000-0000-000004060000}"/>
    <cellStyle name="Normal 23" xfId="786" xr:uid="{00000000-0005-0000-0000-000005060000}"/>
    <cellStyle name="Normal 23 2" xfId="1139" xr:uid="{00000000-0005-0000-0000-000006060000}"/>
    <cellStyle name="Normal 23 2 2" xfId="2105" xr:uid="{00000000-0005-0000-0000-000007060000}"/>
    <cellStyle name="Normal 23 3" xfId="1923" xr:uid="{00000000-0005-0000-0000-000008060000}"/>
    <cellStyle name="Normal 24" xfId="787" xr:uid="{00000000-0005-0000-0000-000009060000}"/>
    <cellStyle name="Normal 24 2" xfId="1140" xr:uid="{00000000-0005-0000-0000-00000A060000}"/>
    <cellStyle name="Normal 24 2 2" xfId="2106" xr:uid="{00000000-0005-0000-0000-00000B060000}"/>
    <cellStyle name="Normal 24 3" xfId="1924" xr:uid="{00000000-0005-0000-0000-00000C060000}"/>
    <cellStyle name="Normal 25" xfId="788" xr:uid="{00000000-0005-0000-0000-00000D060000}"/>
    <cellStyle name="Normal 25 2" xfId="1141" xr:uid="{00000000-0005-0000-0000-00000E060000}"/>
    <cellStyle name="Normal 25 2 2" xfId="2107" xr:uid="{00000000-0005-0000-0000-00000F060000}"/>
    <cellStyle name="Normal 25 3" xfId="1925" xr:uid="{00000000-0005-0000-0000-000010060000}"/>
    <cellStyle name="Normal 26" xfId="789" xr:uid="{00000000-0005-0000-0000-000011060000}"/>
    <cellStyle name="Normal 26 2" xfId="1142" xr:uid="{00000000-0005-0000-0000-000012060000}"/>
    <cellStyle name="Normal 26 2 2" xfId="2108" xr:uid="{00000000-0005-0000-0000-000013060000}"/>
    <cellStyle name="Normal 26 3" xfId="1926" xr:uid="{00000000-0005-0000-0000-000014060000}"/>
    <cellStyle name="Normal 27" xfId="1143" xr:uid="{00000000-0005-0000-0000-000015060000}"/>
    <cellStyle name="Normal 27 2" xfId="2109" xr:uid="{00000000-0005-0000-0000-000016060000}"/>
    <cellStyle name="Normal 28" xfId="1144" xr:uid="{00000000-0005-0000-0000-000017060000}"/>
    <cellStyle name="Normal 28 2" xfId="1145" xr:uid="{00000000-0005-0000-0000-000018060000}"/>
    <cellStyle name="Normal 28 2 2" xfId="2111" xr:uid="{00000000-0005-0000-0000-000019060000}"/>
    <cellStyle name="Normal 28 3" xfId="2110" xr:uid="{00000000-0005-0000-0000-00001A060000}"/>
    <cellStyle name="Normal 29" xfId="1146" xr:uid="{00000000-0005-0000-0000-00001B060000}"/>
    <cellStyle name="Normal 29 2" xfId="1147" xr:uid="{00000000-0005-0000-0000-00001C060000}"/>
    <cellStyle name="Normal 29 2 2" xfId="2113" xr:uid="{00000000-0005-0000-0000-00001D060000}"/>
    <cellStyle name="Normal 29 3" xfId="2112" xr:uid="{00000000-0005-0000-0000-00001E060000}"/>
    <cellStyle name="Normal 3" xfId="790" xr:uid="{00000000-0005-0000-0000-00001F060000}"/>
    <cellStyle name="Normal 3 2" xfId="791" xr:uid="{00000000-0005-0000-0000-000020060000}"/>
    <cellStyle name="Normal 3 2 2" xfId="792" xr:uid="{00000000-0005-0000-0000-000021060000}"/>
    <cellStyle name="Normal 3 2 2 2" xfId="1409" xr:uid="{00000000-0005-0000-0000-000022060000}"/>
    <cellStyle name="Normal 3 2 3" xfId="1172" xr:uid="{00000000-0005-0000-0000-000023060000}"/>
    <cellStyle name="Normal 3 3" xfId="793" xr:uid="{00000000-0005-0000-0000-000024060000}"/>
    <cellStyle name="Normal 3 3 2" xfId="794" xr:uid="{00000000-0005-0000-0000-000025060000}"/>
    <cellStyle name="Normal 3 3 2 2" xfId="1927" xr:uid="{00000000-0005-0000-0000-000026060000}"/>
    <cellStyle name="Normal 3 3 3" xfId="795" xr:uid="{00000000-0005-0000-0000-000027060000}"/>
    <cellStyle name="Normal 3 3 4" xfId="796" xr:uid="{00000000-0005-0000-0000-000028060000}"/>
    <cellStyle name="Normal 3 3 4 2" xfId="1928" xr:uid="{00000000-0005-0000-0000-000029060000}"/>
    <cellStyle name="Normal 3 3 5" xfId="797" xr:uid="{00000000-0005-0000-0000-00002A060000}"/>
    <cellStyle name="Normal 3 3 5 2" xfId="1929" xr:uid="{00000000-0005-0000-0000-00002B060000}"/>
    <cellStyle name="Normal 3 3 6" xfId="1410" xr:uid="{00000000-0005-0000-0000-00002C060000}"/>
    <cellStyle name="Normal 3 4" xfId="1408" xr:uid="{00000000-0005-0000-0000-00002D060000}"/>
    <cellStyle name="Normal 3 4 2" xfId="2160" xr:uid="{00000000-0005-0000-0000-00002E060000}"/>
    <cellStyle name="Normal 3_Attach O, GG, Support -New Method 2-14-11" xfId="1148" xr:uid="{00000000-0005-0000-0000-00002F060000}"/>
    <cellStyle name="Normal 30" xfId="1185" xr:uid="{00000000-0005-0000-0000-000030060000}"/>
    <cellStyle name="Normal 30 2" xfId="2137" xr:uid="{00000000-0005-0000-0000-000031060000}"/>
    <cellStyle name="Normal 31" xfId="2170" xr:uid="{00000000-0005-0000-0000-000032060000}"/>
    <cellStyle name="Normal 31 3" xfId="2188" xr:uid="{00000000-0005-0000-0000-000033060000}"/>
    <cellStyle name="Normal 32" xfId="2174" xr:uid="{00000000-0005-0000-0000-000034060000}"/>
    <cellStyle name="Normal 33" xfId="2178" xr:uid="{00000000-0005-0000-0000-000035060000}"/>
    <cellStyle name="Normal 33 2" xfId="2186" xr:uid="{00000000-0005-0000-0000-000036060000}"/>
    <cellStyle name="Normal 35" xfId="798" xr:uid="{00000000-0005-0000-0000-000037060000}"/>
    <cellStyle name="Normal 35 2" xfId="1532" xr:uid="{00000000-0005-0000-0000-000038060000}"/>
    <cellStyle name="Normal 4" xfId="799" xr:uid="{00000000-0005-0000-0000-000039060000}"/>
    <cellStyle name="Normal 4 10" xfId="800" xr:uid="{00000000-0005-0000-0000-00003A060000}"/>
    <cellStyle name="Normal 4 10 2" xfId="801" xr:uid="{00000000-0005-0000-0000-00003B060000}"/>
    <cellStyle name="Normal 4 10 2 2" xfId="1931" xr:uid="{00000000-0005-0000-0000-00003C060000}"/>
    <cellStyle name="Normal 4 10 3" xfId="802" xr:uid="{00000000-0005-0000-0000-00003D060000}"/>
    <cellStyle name="Normal 4 10 3 2" xfId="1932" xr:uid="{00000000-0005-0000-0000-00003E060000}"/>
    <cellStyle name="Normal 4 10 4" xfId="1930" xr:uid="{00000000-0005-0000-0000-00003F060000}"/>
    <cellStyle name="Normal 4 11" xfId="803" xr:uid="{00000000-0005-0000-0000-000040060000}"/>
    <cellStyle name="Normal 4 11 2" xfId="804" xr:uid="{00000000-0005-0000-0000-000041060000}"/>
    <cellStyle name="Normal 4 11 2 2" xfId="1934" xr:uid="{00000000-0005-0000-0000-000042060000}"/>
    <cellStyle name="Normal 4 11 3" xfId="1933" xr:uid="{00000000-0005-0000-0000-000043060000}"/>
    <cellStyle name="Normal 4 12" xfId="805" xr:uid="{00000000-0005-0000-0000-000044060000}"/>
    <cellStyle name="Normal 4 12 2" xfId="806" xr:uid="{00000000-0005-0000-0000-000045060000}"/>
    <cellStyle name="Normal 4 12 2 2" xfId="1936" xr:uid="{00000000-0005-0000-0000-000046060000}"/>
    <cellStyle name="Normal 4 12 3" xfId="1935" xr:uid="{00000000-0005-0000-0000-000047060000}"/>
    <cellStyle name="Normal 4 13" xfId="807" xr:uid="{00000000-0005-0000-0000-000048060000}"/>
    <cellStyle name="Normal 4 13 2" xfId="808" xr:uid="{00000000-0005-0000-0000-000049060000}"/>
    <cellStyle name="Normal 4 13 2 2" xfId="1938" xr:uid="{00000000-0005-0000-0000-00004A060000}"/>
    <cellStyle name="Normal 4 13 3" xfId="1937" xr:uid="{00000000-0005-0000-0000-00004B060000}"/>
    <cellStyle name="Normal 4 14" xfId="809" xr:uid="{00000000-0005-0000-0000-00004C060000}"/>
    <cellStyle name="Normal 4 14 2" xfId="1939" xr:uid="{00000000-0005-0000-0000-00004D060000}"/>
    <cellStyle name="Normal 4 2" xfId="810" xr:uid="{00000000-0005-0000-0000-00004E060000}"/>
    <cellStyle name="Normal 4 2 2" xfId="811" xr:uid="{00000000-0005-0000-0000-00004F060000}"/>
    <cellStyle name="Normal 4 2 2 2" xfId="1492" xr:uid="{00000000-0005-0000-0000-000050060000}"/>
    <cellStyle name="Normal 4 2 3" xfId="1411" xr:uid="{00000000-0005-0000-0000-000051060000}"/>
    <cellStyle name="Normal 4 3" xfId="812" xr:uid="{00000000-0005-0000-0000-000052060000}"/>
    <cellStyle name="Normal 4 3 2" xfId="813" xr:uid="{00000000-0005-0000-0000-000053060000}"/>
    <cellStyle name="Normal 4 3 2 2" xfId="814" xr:uid="{00000000-0005-0000-0000-000054060000}"/>
    <cellStyle name="Normal 4 3 2 2 2" xfId="1941" xr:uid="{00000000-0005-0000-0000-000055060000}"/>
    <cellStyle name="Normal 4 3 2 3" xfId="815" xr:uid="{00000000-0005-0000-0000-000056060000}"/>
    <cellStyle name="Normal 4 3 2 3 2" xfId="1942" xr:uid="{00000000-0005-0000-0000-000057060000}"/>
    <cellStyle name="Normal 4 3 2 4" xfId="1940" xr:uid="{00000000-0005-0000-0000-000058060000}"/>
    <cellStyle name="Normal 4 3 3" xfId="816" xr:uid="{00000000-0005-0000-0000-000059060000}"/>
    <cellStyle name="Normal 4 3 3 2" xfId="817" xr:uid="{00000000-0005-0000-0000-00005A060000}"/>
    <cellStyle name="Normal 4 3 3 2 2" xfId="818" xr:uid="{00000000-0005-0000-0000-00005B060000}"/>
    <cellStyle name="Normal 4 3 3 2 2 2" xfId="1945" xr:uid="{00000000-0005-0000-0000-00005C060000}"/>
    <cellStyle name="Normal 4 3 3 2 3" xfId="819" xr:uid="{00000000-0005-0000-0000-00005D060000}"/>
    <cellStyle name="Normal 4 3 3 2 3 2" xfId="1946" xr:uid="{00000000-0005-0000-0000-00005E060000}"/>
    <cellStyle name="Normal 4 3 3 2 4" xfId="820" xr:uid="{00000000-0005-0000-0000-00005F060000}"/>
    <cellStyle name="Normal 4 3 3 2 4 2" xfId="1947" xr:uid="{00000000-0005-0000-0000-000060060000}"/>
    <cellStyle name="Normal 4 3 3 2 5" xfId="821" xr:uid="{00000000-0005-0000-0000-000061060000}"/>
    <cellStyle name="Normal 4 3 3 2 5 2" xfId="1948" xr:uid="{00000000-0005-0000-0000-000062060000}"/>
    <cellStyle name="Normal 4 3 3 2 6" xfId="1944" xr:uid="{00000000-0005-0000-0000-000063060000}"/>
    <cellStyle name="Normal 4 3 3 3" xfId="822" xr:uid="{00000000-0005-0000-0000-000064060000}"/>
    <cellStyle name="Normal 4 3 3 3 2" xfId="1949" xr:uid="{00000000-0005-0000-0000-000065060000}"/>
    <cellStyle name="Normal 4 3 3 4" xfId="1943" xr:uid="{00000000-0005-0000-0000-000066060000}"/>
    <cellStyle name="Normal 4 3 4" xfId="823" xr:uid="{00000000-0005-0000-0000-000067060000}"/>
    <cellStyle name="Normal 4 3 4 2" xfId="1950" xr:uid="{00000000-0005-0000-0000-000068060000}"/>
    <cellStyle name="Normal 4 3 5" xfId="824" xr:uid="{00000000-0005-0000-0000-000069060000}"/>
    <cellStyle name="Normal 4 3 5 2" xfId="825" xr:uid="{00000000-0005-0000-0000-00006A060000}"/>
    <cellStyle name="Normal 4 3 5 2 2" xfId="1952" xr:uid="{00000000-0005-0000-0000-00006B060000}"/>
    <cellStyle name="Normal 4 3 5 3" xfId="826" xr:uid="{00000000-0005-0000-0000-00006C060000}"/>
    <cellStyle name="Normal 4 3 5 3 2" xfId="1953" xr:uid="{00000000-0005-0000-0000-00006D060000}"/>
    <cellStyle name="Normal 4 3 5 4" xfId="827" xr:uid="{00000000-0005-0000-0000-00006E060000}"/>
    <cellStyle name="Normal 4 3 5 4 2" xfId="1954" xr:uid="{00000000-0005-0000-0000-00006F060000}"/>
    <cellStyle name="Normal 4 3 5 5" xfId="828" xr:uid="{00000000-0005-0000-0000-000070060000}"/>
    <cellStyle name="Normal 4 3 5 5 2" xfId="1955" xr:uid="{00000000-0005-0000-0000-000071060000}"/>
    <cellStyle name="Normal 4 3 5 6" xfId="1951" xr:uid="{00000000-0005-0000-0000-000072060000}"/>
    <cellStyle name="Normal 4 3 6" xfId="829" xr:uid="{00000000-0005-0000-0000-000073060000}"/>
    <cellStyle name="Normal 4 3 6 2" xfId="1956" xr:uid="{00000000-0005-0000-0000-000074060000}"/>
    <cellStyle name="Normal 4 3 7" xfId="1412" xr:uid="{00000000-0005-0000-0000-000075060000}"/>
    <cellStyle name="Normal 4 4" xfId="830" xr:uid="{00000000-0005-0000-0000-000076060000}"/>
    <cellStyle name="Normal 4 4 2" xfId="831" xr:uid="{00000000-0005-0000-0000-000077060000}"/>
    <cellStyle name="Normal 4 4 2 2" xfId="1957" xr:uid="{00000000-0005-0000-0000-000078060000}"/>
    <cellStyle name="Normal 4 4 3" xfId="832" xr:uid="{00000000-0005-0000-0000-000079060000}"/>
    <cellStyle name="Normal 4 4 3 2" xfId="1958" xr:uid="{00000000-0005-0000-0000-00007A060000}"/>
    <cellStyle name="Normal 4 4 4" xfId="833" xr:uid="{00000000-0005-0000-0000-00007B060000}"/>
    <cellStyle name="Normal 4 4 4 2" xfId="834" xr:uid="{00000000-0005-0000-0000-00007C060000}"/>
    <cellStyle name="Normal 4 4 4 2 2" xfId="1960" xr:uid="{00000000-0005-0000-0000-00007D060000}"/>
    <cellStyle name="Normal 4 4 4 3" xfId="835" xr:uid="{00000000-0005-0000-0000-00007E060000}"/>
    <cellStyle name="Normal 4 4 4 3 2" xfId="1961" xr:uid="{00000000-0005-0000-0000-00007F060000}"/>
    <cellStyle name="Normal 4 4 4 4" xfId="836" xr:uid="{00000000-0005-0000-0000-000080060000}"/>
    <cellStyle name="Normal 4 4 4 4 2" xfId="1962" xr:uid="{00000000-0005-0000-0000-000081060000}"/>
    <cellStyle name="Normal 4 4 4 5" xfId="837" xr:uid="{00000000-0005-0000-0000-000082060000}"/>
    <cellStyle name="Normal 4 4 4 5 2" xfId="1963" xr:uid="{00000000-0005-0000-0000-000083060000}"/>
    <cellStyle name="Normal 4 4 4 6" xfId="1959" xr:uid="{00000000-0005-0000-0000-000084060000}"/>
    <cellStyle name="Normal 4 4 5" xfId="838" xr:uid="{00000000-0005-0000-0000-000085060000}"/>
    <cellStyle name="Normal 4 4 5 2" xfId="1964" xr:uid="{00000000-0005-0000-0000-000086060000}"/>
    <cellStyle name="Normal 4 4 6" xfId="1491" xr:uid="{00000000-0005-0000-0000-000087060000}"/>
    <cellStyle name="Normal 4 5" xfId="839" xr:uid="{00000000-0005-0000-0000-000088060000}"/>
    <cellStyle name="Normal 4 5 2" xfId="840" xr:uid="{00000000-0005-0000-0000-000089060000}"/>
    <cellStyle name="Normal 4 5 2 2" xfId="841" xr:uid="{00000000-0005-0000-0000-00008A060000}"/>
    <cellStyle name="Normal 4 5 2 2 2" xfId="842" xr:uid="{00000000-0005-0000-0000-00008B060000}"/>
    <cellStyle name="Normal 4 5 2 2 2 2" xfId="1968" xr:uid="{00000000-0005-0000-0000-00008C060000}"/>
    <cellStyle name="Normal 4 5 2 2 3" xfId="843" xr:uid="{00000000-0005-0000-0000-00008D060000}"/>
    <cellStyle name="Normal 4 5 2 2 3 2" xfId="1969" xr:uid="{00000000-0005-0000-0000-00008E060000}"/>
    <cellStyle name="Normal 4 5 2 2 4" xfId="844" xr:uid="{00000000-0005-0000-0000-00008F060000}"/>
    <cellStyle name="Normal 4 5 2 2 4 2" xfId="1970" xr:uid="{00000000-0005-0000-0000-000090060000}"/>
    <cellStyle name="Normal 4 5 2 2 5" xfId="845" xr:uid="{00000000-0005-0000-0000-000091060000}"/>
    <cellStyle name="Normal 4 5 2 2 5 2" xfId="1971" xr:uid="{00000000-0005-0000-0000-000092060000}"/>
    <cellStyle name="Normal 4 5 2 2 6" xfId="1967" xr:uid="{00000000-0005-0000-0000-000093060000}"/>
    <cellStyle name="Normal 4 5 2 3" xfId="1966" xr:uid="{00000000-0005-0000-0000-000094060000}"/>
    <cellStyle name="Normal 4 5 3" xfId="846" xr:uid="{00000000-0005-0000-0000-000095060000}"/>
    <cellStyle name="Normal 4 5 4" xfId="1965" xr:uid="{00000000-0005-0000-0000-000096060000}"/>
    <cellStyle name="Normal 4 6" xfId="847" xr:uid="{00000000-0005-0000-0000-000097060000}"/>
    <cellStyle name="Normal 4 6 2" xfId="1149" xr:uid="{00000000-0005-0000-0000-000098060000}"/>
    <cellStyle name="Normal 4 6 2 2" xfId="2114" xr:uid="{00000000-0005-0000-0000-000099060000}"/>
    <cellStyle name="Normal 4 6 3" xfId="1972" xr:uid="{00000000-0005-0000-0000-00009A060000}"/>
    <cellStyle name="Normal 4 7" xfId="848" xr:uid="{00000000-0005-0000-0000-00009B060000}"/>
    <cellStyle name="Normal 4 7 2" xfId="1150" xr:uid="{00000000-0005-0000-0000-00009C060000}"/>
    <cellStyle name="Normal 4 7 2 2" xfId="2115" xr:uid="{00000000-0005-0000-0000-00009D060000}"/>
    <cellStyle name="Normal 4 7 3" xfId="1973" xr:uid="{00000000-0005-0000-0000-00009E060000}"/>
    <cellStyle name="Normal 4 8" xfId="849" xr:uid="{00000000-0005-0000-0000-00009F060000}"/>
    <cellStyle name="Normal 4 8 2" xfId="1974" xr:uid="{00000000-0005-0000-0000-0000A0060000}"/>
    <cellStyle name="Normal 4 9" xfId="850" xr:uid="{00000000-0005-0000-0000-0000A1060000}"/>
    <cellStyle name="Normal 4 9 2" xfId="1975" xr:uid="{00000000-0005-0000-0000-0000A2060000}"/>
    <cellStyle name="Normal 4_PBOP Exhibit 1" xfId="851" xr:uid="{00000000-0005-0000-0000-0000A3060000}"/>
    <cellStyle name="Normal 5" xfId="852" xr:uid="{00000000-0005-0000-0000-0000A4060000}"/>
    <cellStyle name="Normal 5 2" xfId="853" xr:uid="{00000000-0005-0000-0000-0000A5060000}"/>
    <cellStyle name="Normal 5 2 2" xfId="854" xr:uid="{00000000-0005-0000-0000-0000A6060000}"/>
    <cellStyle name="Normal 5 2 2 2" xfId="855" xr:uid="{00000000-0005-0000-0000-0000A7060000}"/>
    <cellStyle name="Normal 5 2 2 2 2" xfId="1976" xr:uid="{00000000-0005-0000-0000-0000A8060000}"/>
    <cellStyle name="Normal 5 2 2 3" xfId="1415" xr:uid="{00000000-0005-0000-0000-0000A9060000}"/>
    <cellStyle name="Normal 5 2 3" xfId="856" xr:uid="{00000000-0005-0000-0000-0000AA060000}"/>
    <cellStyle name="Normal 5 2 3 2" xfId="1977" xr:uid="{00000000-0005-0000-0000-0000AB060000}"/>
    <cellStyle name="Normal 5 2 4" xfId="857" xr:uid="{00000000-0005-0000-0000-0000AC060000}"/>
    <cellStyle name="Normal 5 2 5" xfId="858" xr:uid="{00000000-0005-0000-0000-0000AD060000}"/>
    <cellStyle name="Normal 5 2 6" xfId="859" xr:uid="{00000000-0005-0000-0000-0000AE060000}"/>
    <cellStyle name="Normal 5 2 6 2" xfId="1978" xr:uid="{00000000-0005-0000-0000-0000AF060000}"/>
    <cellStyle name="Normal 5 2 7" xfId="1414" xr:uid="{00000000-0005-0000-0000-0000B0060000}"/>
    <cellStyle name="Normal 5 3" xfId="860" xr:uid="{00000000-0005-0000-0000-0000B1060000}"/>
    <cellStyle name="Normal 5 3 2" xfId="1416" xr:uid="{00000000-0005-0000-0000-0000B2060000}"/>
    <cellStyle name="Normal 5 3 3" xfId="1979" xr:uid="{00000000-0005-0000-0000-0000B3060000}"/>
    <cellStyle name="Normal 5 4" xfId="861" xr:uid="{00000000-0005-0000-0000-0000B4060000}"/>
    <cellStyle name="Normal 5 4 2" xfId="1493" xr:uid="{00000000-0005-0000-0000-0000B5060000}"/>
    <cellStyle name="Normal 5 4 3" xfId="1980" xr:uid="{00000000-0005-0000-0000-0000B6060000}"/>
    <cellStyle name="Normal 5 5" xfId="1413" xr:uid="{00000000-0005-0000-0000-0000B7060000}"/>
    <cellStyle name="Normal 5 6" xfId="2179" xr:uid="{00000000-0005-0000-0000-0000B8060000}"/>
    <cellStyle name="Normal 6" xfId="862" xr:uid="{00000000-0005-0000-0000-0000B9060000}"/>
    <cellStyle name="Normal 6 2" xfId="863" xr:uid="{00000000-0005-0000-0000-0000BA060000}"/>
    <cellStyle name="Normal 6 2 2" xfId="864" xr:uid="{00000000-0005-0000-0000-0000BB060000}"/>
    <cellStyle name="Normal 6 2 2 2" xfId="1982" xr:uid="{00000000-0005-0000-0000-0000BC060000}"/>
    <cellStyle name="Normal 6 2 3" xfId="865" xr:uid="{00000000-0005-0000-0000-0000BD060000}"/>
    <cellStyle name="Normal 6 2 3 2" xfId="1983" xr:uid="{00000000-0005-0000-0000-0000BE060000}"/>
    <cellStyle name="Normal 6 3" xfId="866" xr:uid="{00000000-0005-0000-0000-0000BF060000}"/>
    <cellStyle name="Normal 6 3 2" xfId="1151" xr:uid="{00000000-0005-0000-0000-0000C0060000}"/>
    <cellStyle name="Normal 6 3 2 2" xfId="2116" xr:uid="{00000000-0005-0000-0000-0000C1060000}"/>
    <cellStyle name="Normal 6 3 3" xfId="1984" xr:uid="{00000000-0005-0000-0000-0000C2060000}"/>
    <cellStyle name="Normal 6 4" xfId="1152" xr:uid="{00000000-0005-0000-0000-0000C3060000}"/>
    <cellStyle name="Normal 6 4 2" xfId="1153" xr:uid="{00000000-0005-0000-0000-0000C4060000}"/>
    <cellStyle name="Normal 6 4 2 2" xfId="2118" xr:uid="{00000000-0005-0000-0000-0000C5060000}"/>
    <cellStyle name="Normal 6 4 3" xfId="2117" xr:uid="{00000000-0005-0000-0000-0000C6060000}"/>
    <cellStyle name="Normal 6 5" xfId="1166" xr:uid="{00000000-0005-0000-0000-0000C7060000}"/>
    <cellStyle name="Normal 6 5 2" xfId="2131" xr:uid="{00000000-0005-0000-0000-0000C8060000}"/>
    <cellStyle name="Normal 6 6" xfId="1417" xr:uid="{00000000-0005-0000-0000-0000C9060000}"/>
    <cellStyle name="Normal 6 7" xfId="1535" xr:uid="{00000000-0005-0000-0000-0000CA060000}"/>
    <cellStyle name="Normal 6 7 2" xfId="2168" xr:uid="{00000000-0005-0000-0000-0000CB060000}"/>
    <cellStyle name="Normal 6 8" xfId="1981" xr:uid="{00000000-0005-0000-0000-0000CC060000}"/>
    <cellStyle name="Normal 7" xfId="867" xr:uid="{00000000-0005-0000-0000-0000CD060000}"/>
    <cellStyle name="Normal 7 2" xfId="868" xr:uid="{00000000-0005-0000-0000-0000CE060000}"/>
    <cellStyle name="Normal 7 2 2" xfId="1986" xr:uid="{00000000-0005-0000-0000-0000CF060000}"/>
    <cellStyle name="Normal 7 3" xfId="869" xr:uid="{00000000-0005-0000-0000-0000D0060000}"/>
    <cellStyle name="Normal 7 3 2" xfId="1987" xr:uid="{00000000-0005-0000-0000-0000D1060000}"/>
    <cellStyle name="Normal 7 4" xfId="1167" xr:uid="{00000000-0005-0000-0000-0000D2060000}"/>
    <cellStyle name="Normal 7 4 2" xfId="2132" xr:uid="{00000000-0005-0000-0000-0000D3060000}"/>
    <cellStyle name="Normal 7 5" xfId="1418" xr:uid="{00000000-0005-0000-0000-0000D4060000}"/>
    <cellStyle name="Normal 7 6" xfId="1985" xr:uid="{00000000-0005-0000-0000-0000D5060000}"/>
    <cellStyle name="Normal 8" xfId="870" xr:uid="{00000000-0005-0000-0000-0000D6060000}"/>
    <cellStyle name="Normal 8 2" xfId="871" xr:uid="{00000000-0005-0000-0000-0000D7060000}"/>
    <cellStyle name="Normal 8 2 2" xfId="872" xr:uid="{00000000-0005-0000-0000-0000D8060000}"/>
    <cellStyle name="Normal 8 2 2 2" xfId="1989" xr:uid="{00000000-0005-0000-0000-0000D9060000}"/>
    <cellStyle name="Normal 8 2 3" xfId="1210" xr:uid="{00000000-0005-0000-0000-0000DA060000}"/>
    <cellStyle name="Normal 8 2 3 2" xfId="2156" xr:uid="{00000000-0005-0000-0000-0000DB060000}"/>
    <cellStyle name="Normal 8 3" xfId="1168" xr:uid="{00000000-0005-0000-0000-0000DC060000}"/>
    <cellStyle name="Normal 8 3 2" xfId="2133" xr:uid="{00000000-0005-0000-0000-0000DD060000}"/>
    <cellStyle name="Normal 8 4" xfId="1419" xr:uid="{00000000-0005-0000-0000-0000DE060000}"/>
    <cellStyle name="Normal 8 4 2" xfId="2161" xr:uid="{00000000-0005-0000-0000-0000DF060000}"/>
    <cellStyle name="Normal 8 5" xfId="1988" xr:uid="{00000000-0005-0000-0000-0000E0060000}"/>
    <cellStyle name="Normal 9" xfId="873" xr:uid="{00000000-0005-0000-0000-0000E1060000}"/>
    <cellStyle name="Normal 9 2" xfId="874" xr:uid="{00000000-0005-0000-0000-0000E2060000}"/>
    <cellStyle name="Normal 9 2 2" xfId="875" xr:uid="{00000000-0005-0000-0000-0000E3060000}"/>
    <cellStyle name="Normal 9 2 2 2" xfId="1991" xr:uid="{00000000-0005-0000-0000-0000E4060000}"/>
    <cellStyle name="Normal 9 3" xfId="1169" xr:uid="{00000000-0005-0000-0000-0000E5060000}"/>
    <cellStyle name="Normal 9 3 2" xfId="2134" xr:uid="{00000000-0005-0000-0000-0000E6060000}"/>
    <cellStyle name="Normal 9 4" xfId="1420" xr:uid="{00000000-0005-0000-0000-0000E7060000}"/>
    <cellStyle name="Normal 9 5" xfId="1990" xr:uid="{00000000-0005-0000-0000-0000E8060000}"/>
    <cellStyle name="Normal_~7671050" xfId="876" xr:uid="{00000000-0005-0000-0000-0000E9060000}"/>
    <cellStyle name="Normal_21 Exh B" xfId="877" xr:uid="{00000000-0005-0000-0000-0000EA060000}"/>
    <cellStyle name="Normal_ADITAnalysisID090805" xfId="878" xr:uid="{00000000-0005-0000-0000-0000EB060000}"/>
    <cellStyle name="Normal_ADITAnalysisID090805 2" xfId="879" xr:uid="{00000000-0005-0000-0000-0000EC060000}"/>
    <cellStyle name="Normal_ADITAnalysisID090805 2 2" xfId="1176" xr:uid="{00000000-0005-0000-0000-0000ED060000}"/>
    <cellStyle name="Normal_ADITAnalysisID090805 2 2 2" xfId="1177" xr:uid="{00000000-0005-0000-0000-0000EE060000}"/>
    <cellStyle name="Normal_ADITAnalysisID090805 3 3" xfId="1179" xr:uid="{00000000-0005-0000-0000-0000EF060000}"/>
    <cellStyle name="Normal_ATC Projected 2008 Monthly Plant Balances for Attachment O 2 (2)" xfId="1124" xr:uid="{00000000-0005-0000-0000-0000F0060000}"/>
    <cellStyle name="Normal_AU Period 2 Rev 4-27-00" xfId="880" xr:uid="{00000000-0005-0000-0000-0000F1060000}"/>
    <cellStyle name="Normal_FN1 Ratebase Draft SPP template (6-11-04) v2" xfId="881" xr:uid="{00000000-0005-0000-0000-0000F2060000}"/>
    <cellStyle name="Normal_I&amp;M-AK-1" xfId="882" xr:uid="{00000000-0005-0000-0000-0000F3060000}"/>
    <cellStyle name="Normal_Schedule O Info for Mike" xfId="1123" xr:uid="{00000000-0005-0000-0000-0000F4060000}"/>
    <cellStyle name="Normal_Schedule O Info for Mike 2" xfId="1173" xr:uid="{00000000-0005-0000-0000-0000F5060000}"/>
    <cellStyle name="Normal_spp calc - revsd rev crd" xfId="883" xr:uid="{00000000-0005-0000-0000-0000F6060000}"/>
    <cellStyle name="Note" xfId="884" builtinId="10" customBuiltin="1"/>
    <cellStyle name="Note 2" xfId="885" xr:uid="{00000000-0005-0000-0000-0000F8060000}"/>
    <cellStyle name="Note 2 2" xfId="886" xr:uid="{00000000-0005-0000-0000-0000F9060000}"/>
    <cellStyle name="Note 2 2 2" xfId="887" xr:uid="{00000000-0005-0000-0000-0000FA060000}"/>
    <cellStyle name="Note 2 2 3" xfId="888" xr:uid="{00000000-0005-0000-0000-0000FB060000}"/>
    <cellStyle name="Note 2 2 3 2" xfId="1993" xr:uid="{00000000-0005-0000-0000-0000FC060000}"/>
    <cellStyle name="Note 2 2 4" xfId="889" xr:uid="{00000000-0005-0000-0000-0000FD060000}"/>
    <cellStyle name="Note 2 2 5" xfId="1422" xr:uid="{00000000-0005-0000-0000-0000FE060000}"/>
    <cellStyle name="Note 2 3" xfId="890" xr:uid="{00000000-0005-0000-0000-0000FF060000}"/>
    <cellStyle name="Note 2 4" xfId="891" xr:uid="{00000000-0005-0000-0000-000000070000}"/>
    <cellStyle name="Note 2 5" xfId="892" xr:uid="{00000000-0005-0000-0000-000001070000}"/>
    <cellStyle name="Note 2 5 2" xfId="1994" xr:uid="{00000000-0005-0000-0000-000002070000}"/>
    <cellStyle name="Note 2 6" xfId="1421" xr:uid="{00000000-0005-0000-0000-000003070000}"/>
    <cellStyle name="Note 2 7" xfId="1992" xr:uid="{00000000-0005-0000-0000-000004070000}"/>
    <cellStyle name="Note 3" xfId="1423" xr:uid="{00000000-0005-0000-0000-000005070000}"/>
    <cellStyle name="Note 3 2" xfId="1424" xr:uid="{00000000-0005-0000-0000-000006070000}"/>
    <cellStyle name="Note 4" xfId="1425" xr:uid="{00000000-0005-0000-0000-000007070000}"/>
    <cellStyle name="Note 4 2" xfId="2162" xr:uid="{00000000-0005-0000-0000-000008070000}"/>
    <cellStyle name="Note 5" xfId="1426" xr:uid="{00000000-0005-0000-0000-000009070000}"/>
    <cellStyle name="Note 6" xfId="1494" xr:uid="{00000000-0005-0000-0000-00000A070000}"/>
    <cellStyle name="Note 7" xfId="1186" xr:uid="{00000000-0005-0000-0000-00000B070000}"/>
    <cellStyle name="Note 7 2" xfId="2138" xr:uid="{00000000-0005-0000-0000-00000C070000}"/>
    <cellStyle name="ntec" xfId="1427" xr:uid="{00000000-0005-0000-0000-00000D070000}"/>
    <cellStyle name="Output" xfId="893" builtinId="21" customBuiltin="1"/>
    <cellStyle name="Output 2" xfId="894" xr:uid="{00000000-0005-0000-0000-00000F070000}"/>
    <cellStyle name="Output 2 2" xfId="895" xr:uid="{00000000-0005-0000-0000-000010070000}"/>
    <cellStyle name="Output 2 3" xfId="896" xr:uid="{00000000-0005-0000-0000-000011070000}"/>
    <cellStyle name="Output 2 4" xfId="897" xr:uid="{00000000-0005-0000-0000-000012070000}"/>
    <cellStyle name="Output 2 5" xfId="898" xr:uid="{00000000-0005-0000-0000-000013070000}"/>
    <cellStyle name="Output 3" xfId="1428" xr:uid="{00000000-0005-0000-0000-000014070000}"/>
    <cellStyle name="Output 4" xfId="1495" xr:uid="{00000000-0005-0000-0000-000015070000}"/>
    <cellStyle name="Percent" xfId="899" builtinId="5"/>
    <cellStyle name="Percent 10" xfId="900" xr:uid="{00000000-0005-0000-0000-000017070000}"/>
    <cellStyle name="Percent 10 2" xfId="1212" xr:uid="{00000000-0005-0000-0000-000018070000}"/>
    <cellStyle name="Percent 10 2 2" xfId="2158" xr:uid="{00000000-0005-0000-0000-000019070000}"/>
    <cellStyle name="Percent 10 3" xfId="1534" xr:uid="{00000000-0005-0000-0000-00001A070000}"/>
    <cellStyle name="Percent 11" xfId="901" xr:uid="{00000000-0005-0000-0000-00001B070000}"/>
    <cellStyle name="Percent 11 2" xfId="1205" xr:uid="{00000000-0005-0000-0000-00001C070000}"/>
    <cellStyle name="Percent 11 3" xfId="1995" xr:uid="{00000000-0005-0000-0000-00001D070000}"/>
    <cellStyle name="Percent 12" xfId="902" xr:uid="{00000000-0005-0000-0000-00001E070000}"/>
    <cellStyle name="Percent 12 2" xfId="903" xr:uid="{00000000-0005-0000-0000-00001F070000}"/>
    <cellStyle name="Percent 12 2 2" xfId="1997" xr:uid="{00000000-0005-0000-0000-000020070000}"/>
    <cellStyle name="Percent 12 3" xfId="904" xr:uid="{00000000-0005-0000-0000-000021070000}"/>
    <cellStyle name="Percent 12 3 2" xfId="1998" xr:uid="{00000000-0005-0000-0000-000022070000}"/>
    <cellStyle name="Percent 12 4" xfId="1996" xr:uid="{00000000-0005-0000-0000-000023070000}"/>
    <cellStyle name="Percent 13" xfId="905" xr:uid="{00000000-0005-0000-0000-000024070000}"/>
    <cellStyle name="Percent 13 2" xfId="906" xr:uid="{00000000-0005-0000-0000-000025070000}"/>
    <cellStyle name="Percent 13 2 2" xfId="2000" xr:uid="{00000000-0005-0000-0000-000026070000}"/>
    <cellStyle name="Percent 13 3" xfId="1999" xr:uid="{00000000-0005-0000-0000-000027070000}"/>
    <cellStyle name="Percent 14" xfId="907" xr:uid="{00000000-0005-0000-0000-000028070000}"/>
    <cellStyle name="Percent 14 2" xfId="908" xr:uid="{00000000-0005-0000-0000-000029070000}"/>
    <cellStyle name="Percent 14 2 2" xfId="2002" xr:uid="{00000000-0005-0000-0000-00002A070000}"/>
    <cellStyle name="Percent 14 3" xfId="2001" xr:uid="{00000000-0005-0000-0000-00002B070000}"/>
    <cellStyle name="Percent 15" xfId="909" xr:uid="{00000000-0005-0000-0000-00002C070000}"/>
    <cellStyle name="Percent 15 2" xfId="910" xr:uid="{00000000-0005-0000-0000-00002D070000}"/>
    <cellStyle name="Percent 15 2 2" xfId="2004" xr:uid="{00000000-0005-0000-0000-00002E070000}"/>
    <cellStyle name="Percent 15 3" xfId="2003" xr:uid="{00000000-0005-0000-0000-00002F070000}"/>
    <cellStyle name="Percent 16" xfId="911" xr:uid="{00000000-0005-0000-0000-000030070000}"/>
    <cellStyle name="Percent 16 2" xfId="2005" xr:uid="{00000000-0005-0000-0000-000031070000}"/>
    <cellStyle name="Percent 17" xfId="1200" xr:uid="{00000000-0005-0000-0000-000032070000}"/>
    <cellStyle name="Percent 17 2" xfId="2152" xr:uid="{00000000-0005-0000-0000-000033070000}"/>
    <cellStyle name="Percent 18" xfId="2173" xr:uid="{00000000-0005-0000-0000-000034070000}"/>
    <cellStyle name="Percent 19" xfId="2177" xr:uid="{00000000-0005-0000-0000-000035070000}"/>
    <cellStyle name="Percent 2" xfId="912" xr:uid="{00000000-0005-0000-0000-000036070000}"/>
    <cellStyle name="Percent 2 2" xfId="913" xr:uid="{00000000-0005-0000-0000-000037070000}"/>
    <cellStyle name="Percent 2 2 2" xfId="914" xr:uid="{00000000-0005-0000-0000-000038070000}"/>
    <cellStyle name="Percent 2 2 2 2" xfId="2006" xr:uid="{00000000-0005-0000-0000-000039070000}"/>
    <cellStyle name="Percent 2 2 3" xfId="1429" xr:uid="{00000000-0005-0000-0000-00003A070000}"/>
    <cellStyle name="Percent 2 3" xfId="915" xr:uid="{00000000-0005-0000-0000-00003B070000}"/>
    <cellStyle name="Percent 2 3 2" xfId="2007" xr:uid="{00000000-0005-0000-0000-00003C070000}"/>
    <cellStyle name="Percent 2 4" xfId="1180" xr:uid="{00000000-0005-0000-0000-00003D070000}"/>
    <cellStyle name="Percent 2 5" xfId="2172" xr:uid="{00000000-0005-0000-0000-00003E070000}"/>
    <cellStyle name="Percent 20" xfId="2183" xr:uid="{00000000-0005-0000-0000-00003F070000}"/>
    <cellStyle name="Percent 3" xfId="916" xr:uid="{00000000-0005-0000-0000-000040070000}"/>
    <cellStyle name="Percent 3 10" xfId="917" xr:uid="{00000000-0005-0000-0000-000041070000}"/>
    <cellStyle name="Percent 3 10 2" xfId="918" xr:uid="{00000000-0005-0000-0000-000042070000}"/>
    <cellStyle name="Percent 3 10 2 2" xfId="2009" xr:uid="{00000000-0005-0000-0000-000043070000}"/>
    <cellStyle name="Percent 3 10 3" xfId="919" xr:uid="{00000000-0005-0000-0000-000044070000}"/>
    <cellStyle name="Percent 3 10 3 2" xfId="2010" xr:uid="{00000000-0005-0000-0000-000045070000}"/>
    <cellStyle name="Percent 3 10 4" xfId="2008" xr:uid="{00000000-0005-0000-0000-000046070000}"/>
    <cellStyle name="Percent 3 11" xfId="920" xr:uid="{00000000-0005-0000-0000-000047070000}"/>
    <cellStyle name="Percent 3 11 2" xfId="921" xr:uid="{00000000-0005-0000-0000-000048070000}"/>
    <cellStyle name="Percent 3 11 2 2" xfId="2012" xr:uid="{00000000-0005-0000-0000-000049070000}"/>
    <cellStyle name="Percent 3 11 3" xfId="2011" xr:uid="{00000000-0005-0000-0000-00004A070000}"/>
    <cellStyle name="Percent 3 12" xfId="922" xr:uid="{00000000-0005-0000-0000-00004B070000}"/>
    <cellStyle name="Percent 3 12 2" xfId="923" xr:uid="{00000000-0005-0000-0000-00004C070000}"/>
    <cellStyle name="Percent 3 12 2 2" xfId="2014" xr:uid="{00000000-0005-0000-0000-00004D070000}"/>
    <cellStyle name="Percent 3 12 3" xfId="2013" xr:uid="{00000000-0005-0000-0000-00004E070000}"/>
    <cellStyle name="Percent 3 13" xfId="924" xr:uid="{00000000-0005-0000-0000-00004F070000}"/>
    <cellStyle name="Percent 3 13 2" xfId="925" xr:uid="{00000000-0005-0000-0000-000050070000}"/>
    <cellStyle name="Percent 3 13 2 2" xfId="2016" xr:uid="{00000000-0005-0000-0000-000051070000}"/>
    <cellStyle name="Percent 3 13 3" xfId="2015" xr:uid="{00000000-0005-0000-0000-000052070000}"/>
    <cellStyle name="Percent 3 14" xfId="926" xr:uid="{00000000-0005-0000-0000-000053070000}"/>
    <cellStyle name="Percent 3 14 2" xfId="2017" xr:uid="{00000000-0005-0000-0000-000054070000}"/>
    <cellStyle name="Percent 3 15" xfId="2181" xr:uid="{00000000-0005-0000-0000-000055070000}"/>
    <cellStyle name="Percent 3 2" xfId="927" xr:uid="{00000000-0005-0000-0000-000056070000}"/>
    <cellStyle name="Percent 3 2 2" xfId="928" xr:uid="{00000000-0005-0000-0000-000057070000}"/>
    <cellStyle name="Percent 3 2 2 2" xfId="2018" xr:uid="{00000000-0005-0000-0000-000058070000}"/>
    <cellStyle name="Percent 3 2 3" xfId="1430" xr:uid="{00000000-0005-0000-0000-000059070000}"/>
    <cellStyle name="Percent 3 3" xfId="929" xr:uid="{00000000-0005-0000-0000-00005A070000}"/>
    <cellStyle name="Percent 3 3 2" xfId="930" xr:uid="{00000000-0005-0000-0000-00005B070000}"/>
    <cellStyle name="Percent 3 3 2 2" xfId="931" xr:uid="{00000000-0005-0000-0000-00005C070000}"/>
    <cellStyle name="Percent 3 3 2 2 2" xfId="2020" xr:uid="{00000000-0005-0000-0000-00005D070000}"/>
    <cellStyle name="Percent 3 3 2 3" xfId="932" xr:uid="{00000000-0005-0000-0000-00005E070000}"/>
    <cellStyle name="Percent 3 3 2 3 2" xfId="2021" xr:uid="{00000000-0005-0000-0000-00005F070000}"/>
    <cellStyle name="Percent 3 3 2 4" xfId="2019" xr:uid="{00000000-0005-0000-0000-000060070000}"/>
    <cellStyle name="Percent 3 3 3" xfId="933" xr:uid="{00000000-0005-0000-0000-000061070000}"/>
    <cellStyle name="Percent 3 3 3 2" xfId="934" xr:uid="{00000000-0005-0000-0000-000062070000}"/>
    <cellStyle name="Percent 3 3 3 2 2" xfId="935" xr:uid="{00000000-0005-0000-0000-000063070000}"/>
    <cellStyle name="Percent 3 3 3 2 2 2" xfId="2024" xr:uid="{00000000-0005-0000-0000-000064070000}"/>
    <cellStyle name="Percent 3 3 3 2 3" xfId="936" xr:uid="{00000000-0005-0000-0000-000065070000}"/>
    <cellStyle name="Percent 3 3 3 2 3 2" xfId="2025" xr:uid="{00000000-0005-0000-0000-000066070000}"/>
    <cellStyle name="Percent 3 3 3 2 4" xfId="937" xr:uid="{00000000-0005-0000-0000-000067070000}"/>
    <cellStyle name="Percent 3 3 3 2 4 2" xfId="2026" xr:uid="{00000000-0005-0000-0000-000068070000}"/>
    <cellStyle name="Percent 3 3 3 2 5" xfId="938" xr:uid="{00000000-0005-0000-0000-000069070000}"/>
    <cellStyle name="Percent 3 3 3 2 5 2" xfId="2027" xr:uid="{00000000-0005-0000-0000-00006A070000}"/>
    <cellStyle name="Percent 3 3 3 2 6" xfId="2023" xr:uid="{00000000-0005-0000-0000-00006B070000}"/>
    <cellStyle name="Percent 3 3 3 3" xfId="939" xr:uid="{00000000-0005-0000-0000-00006C070000}"/>
    <cellStyle name="Percent 3 3 3 3 2" xfId="2028" xr:uid="{00000000-0005-0000-0000-00006D070000}"/>
    <cellStyle name="Percent 3 3 3 4" xfId="2022" xr:uid="{00000000-0005-0000-0000-00006E070000}"/>
    <cellStyle name="Percent 3 3 4" xfId="940" xr:uid="{00000000-0005-0000-0000-00006F070000}"/>
    <cellStyle name="Percent 3 3 4 2" xfId="2029" xr:uid="{00000000-0005-0000-0000-000070070000}"/>
    <cellStyle name="Percent 3 3 5" xfId="941" xr:uid="{00000000-0005-0000-0000-000071070000}"/>
    <cellStyle name="Percent 3 3 5 2" xfId="942" xr:uid="{00000000-0005-0000-0000-000072070000}"/>
    <cellStyle name="Percent 3 3 5 2 2" xfId="2031" xr:uid="{00000000-0005-0000-0000-000073070000}"/>
    <cellStyle name="Percent 3 3 5 3" xfId="943" xr:uid="{00000000-0005-0000-0000-000074070000}"/>
    <cellStyle name="Percent 3 3 5 3 2" xfId="2032" xr:uid="{00000000-0005-0000-0000-000075070000}"/>
    <cellStyle name="Percent 3 3 5 4" xfId="944" xr:uid="{00000000-0005-0000-0000-000076070000}"/>
    <cellStyle name="Percent 3 3 5 4 2" xfId="2033" xr:uid="{00000000-0005-0000-0000-000077070000}"/>
    <cellStyle name="Percent 3 3 5 5" xfId="945" xr:uid="{00000000-0005-0000-0000-000078070000}"/>
    <cellStyle name="Percent 3 3 5 5 2" xfId="2034" xr:uid="{00000000-0005-0000-0000-000079070000}"/>
    <cellStyle name="Percent 3 3 5 6" xfId="2030" xr:uid="{00000000-0005-0000-0000-00007A070000}"/>
    <cellStyle name="Percent 3 3 6" xfId="946" xr:uid="{00000000-0005-0000-0000-00007B070000}"/>
    <cellStyle name="Percent 3 3 6 2" xfId="2035" xr:uid="{00000000-0005-0000-0000-00007C070000}"/>
    <cellStyle name="Percent 3 3 7" xfId="1496" xr:uid="{00000000-0005-0000-0000-00007D070000}"/>
    <cellStyle name="Percent 3 4" xfId="947" xr:uid="{00000000-0005-0000-0000-00007E070000}"/>
    <cellStyle name="Percent 3 4 2" xfId="948" xr:uid="{00000000-0005-0000-0000-00007F070000}"/>
    <cellStyle name="Percent 3 4 2 2" xfId="2036" xr:uid="{00000000-0005-0000-0000-000080070000}"/>
    <cellStyle name="Percent 3 4 3" xfId="949" xr:uid="{00000000-0005-0000-0000-000081070000}"/>
    <cellStyle name="Percent 3 4 3 2" xfId="2037" xr:uid="{00000000-0005-0000-0000-000082070000}"/>
    <cellStyle name="Percent 3 4 4" xfId="950" xr:uid="{00000000-0005-0000-0000-000083070000}"/>
    <cellStyle name="Percent 3 4 4 2" xfId="951" xr:uid="{00000000-0005-0000-0000-000084070000}"/>
    <cellStyle name="Percent 3 4 4 2 2" xfId="2039" xr:uid="{00000000-0005-0000-0000-000085070000}"/>
    <cellStyle name="Percent 3 4 4 3" xfId="952" xr:uid="{00000000-0005-0000-0000-000086070000}"/>
    <cellStyle name="Percent 3 4 4 3 2" xfId="2040" xr:uid="{00000000-0005-0000-0000-000087070000}"/>
    <cellStyle name="Percent 3 4 4 4" xfId="953" xr:uid="{00000000-0005-0000-0000-000088070000}"/>
    <cellStyle name="Percent 3 4 4 4 2" xfId="2041" xr:uid="{00000000-0005-0000-0000-000089070000}"/>
    <cellStyle name="Percent 3 4 4 5" xfId="954" xr:uid="{00000000-0005-0000-0000-00008A070000}"/>
    <cellStyle name="Percent 3 4 4 5 2" xfId="2042" xr:uid="{00000000-0005-0000-0000-00008B070000}"/>
    <cellStyle name="Percent 3 4 4 6" xfId="2038" xr:uid="{00000000-0005-0000-0000-00008C070000}"/>
    <cellStyle name="Percent 3 4 5" xfId="955" xr:uid="{00000000-0005-0000-0000-00008D070000}"/>
    <cellStyle name="Percent 3 4 5 2" xfId="2043" xr:uid="{00000000-0005-0000-0000-00008E070000}"/>
    <cellStyle name="Percent 3 4 6" xfId="1526" xr:uid="{00000000-0005-0000-0000-00008F070000}"/>
    <cellStyle name="Percent 3 5" xfId="956" xr:uid="{00000000-0005-0000-0000-000090070000}"/>
    <cellStyle name="Percent 3 5 2" xfId="957" xr:uid="{00000000-0005-0000-0000-000091070000}"/>
    <cellStyle name="Percent 3 5 2 2" xfId="2045" xr:uid="{00000000-0005-0000-0000-000092070000}"/>
    <cellStyle name="Percent 3 5 3" xfId="2044" xr:uid="{00000000-0005-0000-0000-000093070000}"/>
    <cellStyle name="Percent 3 6" xfId="958" xr:uid="{00000000-0005-0000-0000-000094070000}"/>
    <cellStyle name="Percent 3 6 2" xfId="1154" xr:uid="{00000000-0005-0000-0000-000095070000}"/>
    <cellStyle name="Percent 3 6 2 2" xfId="2119" xr:uid="{00000000-0005-0000-0000-000096070000}"/>
    <cellStyle name="Percent 3 6 3" xfId="2046" xr:uid="{00000000-0005-0000-0000-000097070000}"/>
    <cellStyle name="Percent 3 7" xfId="959" xr:uid="{00000000-0005-0000-0000-000098070000}"/>
    <cellStyle name="Percent 3 7 2" xfId="2047" xr:uid="{00000000-0005-0000-0000-000099070000}"/>
    <cellStyle name="Percent 3 8" xfId="960" xr:uid="{00000000-0005-0000-0000-00009A070000}"/>
    <cellStyle name="Percent 3 8 2" xfId="2048" xr:uid="{00000000-0005-0000-0000-00009B070000}"/>
    <cellStyle name="Percent 3 9" xfId="961" xr:uid="{00000000-0005-0000-0000-00009C070000}"/>
    <cellStyle name="Percent 3 9 2" xfId="2049" xr:uid="{00000000-0005-0000-0000-00009D070000}"/>
    <cellStyle name="Percent 4" xfId="962" xr:uid="{00000000-0005-0000-0000-00009E070000}"/>
    <cellStyle name="Percent 4 2" xfId="963" xr:uid="{00000000-0005-0000-0000-00009F070000}"/>
    <cellStyle name="Percent 4 2 2" xfId="964" xr:uid="{00000000-0005-0000-0000-0000A0070000}"/>
    <cellStyle name="Percent 4 2 2 2" xfId="2050" xr:uid="{00000000-0005-0000-0000-0000A1070000}"/>
    <cellStyle name="Percent 4 2 3" xfId="965" xr:uid="{00000000-0005-0000-0000-0000A2070000}"/>
    <cellStyle name="Percent 4 2 3 2" xfId="2051" xr:uid="{00000000-0005-0000-0000-0000A3070000}"/>
    <cellStyle name="Percent 4 2 4" xfId="1432" xr:uid="{00000000-0005-0000-0000-0000A4070000}"/>
    <cellStyle name="Percent 4 3" xfId="966" xr:uid="{00000000-0005-0000-0000-0000A5070000}"/>
    <cellStyle name="Percent 4 3 2" xfId="967" xr:uid="{00000000-0005-0000-0000-0000A6070000}"/>
    <cellStyle name="Percent 4 3 2 2" xfId="968" xr:uid="{00000000-0005-0000-0000-0000A7070000}"/>
    <cellStyle name="Percent 4 3 2 2 2" xfId="2054" xr:uid="{00000000-0005-0000-0000-0000A8070000}"/>
    <cellStyle name="Percent 4 3 2 3" xfId="969" xr:uid="{00000000-0005-0000-0000-0000A9070000}"/>
    <cellStyle name="Percent 4 3 2 3 2" xfId="2055" xr:uid="{00000000-0005-0000-0000-0000AA070000}"/>
    <cellStyle name="Percent 4 3 2 4" xfId="970" xr:uid="{00000000-0005-0000-0000-0000AB070000}"/>
    <cellStyle name="Percent 4 3 2 4 2" xfId="2056" xr:uid="{00000000-0005-0000-0000-0000AC070000}"/>
    <cellStyle name="Percent 4 3 2 5" xfId="971" xr:uid="{00000000-0005-0000-0000-0000AD070000}"/>
    <cellStyle name="Percent 4 3 2 5 2" xfId="2057" xr:uid="{00000000-0005-0000-0000-0000AE070000}"/>
    <cellStyle name="Percent 4 3 2 6" xfId="2053" xr:uid="{00000000-0005-0000-0000-0000AF070000}"/>
    <cellStyle name="Percent 4 3 3" xfId="972" xr:uid="{00000000-0005-0000-0000-0000B0070000}"/>
    <cellStyle name="Percent 4 3 3 2" xfId="2058" xr:uid="{00000000-0005-0000-0000-0000B1070000}"/>
    <cellStyle name="Percent 4 3 4" xfId="2052" xr:uid="{00000000-0005-0000-0000-0000B2070000}"/>
    <cellStyle name="Percent 4 4" xfId="973" xr:uid="{00000000-0005-0000-0000-0000B3070000}"/>
    <cellStyle name="Percent 4 4 2" xfId="2059" xr:uid="{00000000-0005-0000-0000-0000B4070000}"/>
    <cellStyle name="Percent 4 5" xfId="974" xr:uid="{00000000-0005-0000-0000-0000B5070000}"/>
    <cellStyle name="Percent 4 5 2" xfId="975" xr:uid="{00000000-0005-0000-0000-0000B6070000}"/>
    <cellStyle name="Percent 4 5 2 2" xfId="2061" xr:uid="{00000000-0005-0000-0000-0000B7070000}"/>
    <cellStyle name="Percent 4 5 3" xfId="976" xr:uid="{00000000-0005-0000-0000-0000B8070000}"/>
    <cellStyle name="Percent 4 5 3 2" xfId="2062" xr:uid="{00000000-0005-0000-0000-0000B9070000}"/>
    <cellStyle name="Percent 4 5 4" xfId="977" xr:uid="{00000000-0005-0000-0000-0000BA070000}"/>
    <cellStyle name="Percent 4 5 4 2" xfId="2063" xr:uid="{00000000-0005-0000-0000-0000BB070000}"/>
    <cellStyle name="Percent 4 5 5" xfId="978" xr:uid="{00000000-0005-0000-0000-0000BC070000}"/>
    <cellStyle name="Percent 4 5 5 2" xfId="2064" xr:uid="{00000000-0005-0000-0000-0000BD070000}"/>
    <cellStyle name="Percent 4 5 6" xfId="2060" xr:uid="{00000000-0005-0000-0000-0000BE070000}"/>
    <cellStyle name="Percent 4 6" xfId="979" xr:uid="{00000000-0005-0000-0000-0000BF070000}"/>
    <cellStyle name="Percent 4 6 2" xfId="980" xr:uid="{00000000-0005-0000-0000-0000C0070000}"/>
    <cellStyle name="Percent 4 6 3" xfId="981" xr:uid="{00000000-0005-0000-0000-0000C1070000}"/>
    <cellStyle name="Percent 4 7" xfId="1170" xr:uid="{00000000-0005-0000-0000-0000C2070000}"/>
    <cellStyle name="Percent 4 7 2" xfId="2135" xr:uid="{00000000-0005-0000-0000-0000C3070000}"/>
    <cellStyle name="Percent 4 8" xfId="1431" xr:uid="{00000000-0005-0000-0000-0000C4070000}"/>
    <cellStyle name="Percent 5" xfId="982" xr:uid="{00000000-0005-0000-0000-0000C5070000}"/>
    <cellStyle name="Percent 5 2" xfId="983" xr:uid="{00000000-0005-0000-0000-0000C6070000}"/>
    <cellStyle name="Percent 5 2 2" xfId="1434" xr:uid="{00000000-0005-0000-0000-0000C7070000}"/>
    <cellStyle name="Percent 5 2 3" xfId="2066" xr:uid="{00000000-0005-0000-0000-0000C8070000}"/>
    <cellStyle name="Percent 5 3" xfId="984" xr:uid="{00000000-0005-0000-0000-0000C9070000}"/>
    <cellStyle name="Percent 5 3 2" xfId="2067" xr:uid="{00000000-0005-0000-0000-0000CA070000}"/>
    <cellStyle name="Percent 5 4" xfId="985" xr:uid="{00000000-0005-0000-0000-0000CB070000}"/>
    <cellStyle name="Percent 5 4 2" xfId="986" xr:uid="{00000000-0005-0000-0000-0000CC070000}"/>
    <cellStyle name="Percent 5 4 2 2" xfId="2069" xr:uid="{00000000-0005-0000-0000-0000CD070000}"/>
    <cellStyle name="Percent 5 4 3" xfId="987" xr:uid="{00000000-0005-0000-0000-0000CE070000}"/>
    <cellStyle name="Percent 5 4 3 2" xfId="2070" xr:uid="{00000000-0005-0000-0000-0000CF070000}"/>
    <cellStyle name="Percent 5 4 4" xfId="988" xr:uid="{00000000-0005-0000-0000-0000D0070000}"/>
    <cellStyle name="Percent 5 4 4 2" xfId="2071" xr:uid="{00000000-0005-0000-0000-0000D1070000}"/>
    <cellStyle name="Percent 5 4 5" xfId="989" xr:uid="{00000000-0005-0000-0000-0000D2070000}"/>
    <cellStyle name="Percent 5 4 5 2" xfId="2072" xr:uid="{00000000-0005-0000-0000-0000D3070000}"/>
    <cellStyle name="Percent 5 4 6" xfId="2068" xr:uid="{00000000-0005-0000-0000-0000D4070000}"/>
    <cellStyle name="Percent 5 5" xfId="990" xr:uid="{00000000-0005-0000-0000-0000D5070000}"/>
    <cellStyle name="Percent 5 5 2" xfId="2073" xr:uid="{00000000-0005-0000-0000-0000D6070000}"/>
    <cellStyle name="Percent 5 6" xfId="1433" xr:uid="{00000000-0005-0000-0000-0000D7070000}"/>
    <cellStyle name="Percent 5 7" xfId="2065" xr:uid="{00000000-0005-0000-0000-0000D8070000}"/>
    <cellStyle name="Percent 6" xfId="991" xr:uid="{00000000-0005-0000-0000-0000D9070000}"/>
    <cellStyle name="Percent 6 2" xfId="992" xr:uid="{00000000-0005-0000-0000-0000DA070000}"/>
    <cellStyle name="Percent 6 2 2" xfId="2075" xr:uid="{00000000-0005-0000-0000-0000DB070000}"/>
    <cellStyle name="Percent 6 3" xfId="993" xr:uid="{00000000-0005-0000-0000-0000DC070000}"/>
    <cellStyle name="Percent 6 3 2" xfId="2076" xr:uid="{00000000-0005-0000-0000-0000DD070000}"/>
    <cellStyle name="Percent 6 4" xfId="994" xr:uid="{00000000-0005-0000-0000-0000DE070000}"/>
    <cellStyle name="Percent 6 4 2" xfId="995" xr:uid="{00000000-0005-0000-0000-0000DF070000}"/>
    <cellStyle name="Percent 6 4 3" xfId="996" xr:uid="{00000000-0005-0000-0000-0000E0070000}"/>
    <cellStyle name="Percent 6 5" xfId="1171" xr:uid="{00000000-0005-0000-0000-0000E1070000}"/>
    <cellStyle name="Percent 6 5 2" xfId="2136" xr:uid="{00000000-0005-0000-0000-0000E2070000}"/>
    <cellStyle name="Percent 6 6" xfId="1435" xr:uid="{00000000-0005-0000-0000-0000E3070000}"/>
    <cellStyle name="Percent 6 7" xfId="2074" xr:uid="{00000000-0005-0000-0000-0000E4070000}"/>
    <cellStyle name="Percent 7" xfId="997" xr:uid="{00000000-0005-0000-0000-0000E5070000}"/>
    <cellStyle name="Percent 7 2" xfId="998" xr:uid="{00000000-0005-0000-0000-0000E6070000}"/>
    <cellStyle name="Percent 7 2 2" xfId="999" xr:uid="{00000000-0005-0000-0000-0000E7070000}"/>
    <cellStyle name="Percent 7 2 2 2" xfId="1000" xr:uid="{00000000-0005-0000-0000-0000E8070000}"/>
    <cellStyle name="Percent 7 2 2 2 2" xfId="1001" xr:uid="{00000000-0005-0000-0000-0000E9070000}"/>
    <cellStyle name="Percent 7 2 2 3" xfId="1002" xr:uid="{00000000-0005-0000-0000-0000EA070000}"/>
    <cellStyle name="Percent 7 2 2 3 2" xfId="1003" xr:uid="{00000000-0005-0000-0000-0000EB070000}"/>
    <cellStyle name="Percent 7 2 2 4" xfId="1004" xr:uid="{00000000-0005-0000-0000-0000EC070000}"/>
    <cellStyle name="Percent 7 2 2 5" xfId="1005" xr:uid="{00000000-0005-0000-0000-0000ED070000}"/>
    <cellStyle name="Percent 7 2 2 6" xfId="1006" xr:uid="{00000000-0005-0000-0000-0000EE070000}"/>
    <cellStyle name="Percent 7 2 2 6 2" xfId="2077" xr:uid="{00000000-0005-0000-0000-0000EF070000}"/>
    <cellStyle name="Percent 7 2 3" xfId="1007" xr:uid="{00000000-0005-0000-0000-0000F0070000}"/>
    <cellStyle name="Percent 7 2 3 2" xfId="1008" xr:uid="{00000000-0005-0000-0000-0000F1070000}"/>
    <cellStyle name="Percent 7 2 4" xfId="1009" xr:uid="{00000000-0005-0000-0000-0000F2070000}"/>
    <cellStyle name="Percent 7 2 4 2" xfId="1010" xr:uid="{00000000-0005-0000-0000-0000F3070000}"/>
    <cellStyle name="Percent 7 2 4 3" xfId="1011" xr:uid="{00000000-0005-0000-0000-0000F4070000}"/>
    <cellStyle name="Percent 7 2 5" xfId="1012" xr:uid="{00000000-0005-0000-0000-0000F5070000}"/>
    <cellStyle name="Percent 7 2 5 2" xfId="1013" xr:uid="{00000000-0005-0000-0000-0000F6070000}"/>
    <cellStyle name="Percent 7 2 6" xfId="1014" xr:uid="{00000000-0005-0000-0000-0000F7070000}"/>
    <cellStyle name="Percent 7 2 7" xfId="1437" xr:uid="{00000000-0005-0000-0000-0000F8070000}"/>
    <cellStyle name="Percent 7 3" xfId="1015" xr:uid="{00000000-0005-0000-0000-0000F9070000}"/>
    <cellStyle name="Percent 7 3 2" xfId="2078" xr:uid="{00000000-0005-0000-0000-0000FA070000}"/>
    <cellStyle name="Percent 7 4" xfId="1016" xr:uid="{00000000-0005-0000-0000-0000FB070000}"/>
    <cellStyle name="Percent 7 4 2" xfId="2079" xr:uid="{00000000-0005-0000-0000-0000FC070000}"/>
    <cellStyle name="Percent 7 5" xfId="1017" xr:uid="{00000000-0005-0000-0000-0000FD070000}"/>
    <cellStyle name="Percent 7 5 2" xfId="2080" xr:uid="{00000000-0005-0000-0000-0000FE070000}"/>
    <cellStyle name="Percent 7 6" xfId="1018" xr:uid="{00000000-0005-0000-0000-0000FF070000}"/>
    <cellStyle name="Percent 7 6 2" xfId="2081" xr:uid="{00000000-0005-0000-0000-000000080000}"/>
    <cellStyle name="Percent 7 7" xfId="1436" xr:uid="{00000000-0005-0000-0000-000001080000}"/>
    <cellStyle name="Percent 8" xfId="1019" xr:uid="{00000000-0005-0000-0000-000002080000}"/>
    <cellStyle name="Percent 8 2" xfId="1439" xr:uid="{00000000-0005-0000-0000-000003080000}"/>
    <cellStyle name="Percent 8 3" xfId="1438" xr:uid="{00000000-0005-0000-0000-000004080000}"/>
    <cellStyle name="Percent 8 4" xfId="2082" xr:uid="{00000000-0005-0000-0000-000005080000}"/>
    <cellStyle name="Percent 9" xfId="1020" xr:uid="{00000000-0005-0000-0000-000006080000}"/>
    <cellStyle name="Percent 9 2" xfId="1213" xr:uid="{00000000-0005-0000-0000-000007080000}"/>
    <cellStyle name="PSChar" xfId="1021" xr:uid="{00000000-0005-0000-0000-000008080000}"/>
    <cellStyle name="PSChar 2" xfId="1022" xr:uid="{00000000-0005-0000-0000-000009080000}"/>
    <cellStyle name="PSChar 2 2" xfId="1023" xr:uid="{00000000-0005-0000-0000-00000A080000}"/>
    <cellStyle name="PSChar 3" xfId="1024" xr:uid="{00000000-0005-0000-0000-00000B080000}"/>
    <cellStyle name="PSChar 4" xfId="1025" xr:uid="{00000000-0005-0000-0000-00000C080000}"/>
    <cellStyle name="PSChar 4 2" xfId="1026" xr:uid="{00000000-0005-0000-0000-00000D080000}"/>
    <cellStyle name="PSChar 5" xfId="1027" xr:uid="{00000000-0005-0000-0000-00000E080000}"/>
    <cellStyle name="PSChar 5 2" xfId="1028" xr:uid="{00000000-0005-0000-0000-00000F080000}"/>
    <cellStyle name="PSDate" xfId="1029" xr:uid="{00000000-0005-0000-0000-000010080000}"/>
    <cellStyle name="PSDate 2" xfId="1030" xr:uid="{00000000-0005-0000-0000-000011080000}"/>
    <cellStyle name="PSDate 2 2" xfId="1441" xr:uid="{00000000-0005-0000-0000-000012080000}"/>
    <cellStyle name="PSDate 3" xfId="1031" xr:uid="{00000000-0005-0000-0000-000013080000}"/>
    <cellStyle name="PSDate 4" xfId="1032" xr:uid="{00000000-0005-0000-0000-000014080000}"/>
    <cellStyle name="PSDate 4 2" xfId="1033" xr:uid="{00000000-0005-0000-0000-000015080000}"/>
    <cellStyle name="PSDate 5" xfId="1034" xr:uid="{00000000-0005-0000-0000-000016080000}"/>
    <cellStyle name="PSDate 5 2" xfId="1035" xr:uid="{00000000-0005-0000-0000-000017080000}"/>
    <cellStyle name="PSDec" xfId="1036" xr:uid="{00000000-0005-0000-0000-000018080000}"/>
    <cellStyle name="PSDec 2" xfId="1037" xr:uid="{00000000-0005-0000-0000-000019080000}"/>
    <cellStyle name="PSDec 2 2" xfId="1442" xr:uid="{00000000-0005-0000-0000-00001A080000}"/>
    <cellStyle name="PSDec 3" xfId="1038" xr:uid="{00000000-0005-0000-0000-00001B080000}"/>
    <cellStyle name="PSDec 4" xfId="1039" xr:uid="{00000000-0005-0000-0000-00001C080000}"/>
    <cellStyle name="PSDec 4 2" xfId="1040" xr:uid="{00000000-0005-0000-0000-00001D080000}"/>
    <cellStyle name="PSDec 5" xfId="1041" xr:uid="{00000000-0005-0000-0000-00001E080000}"/>
    <cellStyle name="PSDec 5 2" xfId="1042" xr:uid="{00000000-0005-0000-0000-00001F080000}"/>
    <cellStyle name="PSdesc" xfId="1043" xr:uid="{00000000-0005-0000-0000-000020080000}"/>
    <cellStyle name="PSdesc 2" xfId="1044" xr:uid="{00000000-0005-0000-0000-000021080000}"/>
    <cellStyle name="PSdesc 2 2" xfId="2083" xr:uid="{00000000-0005-0000-0000-000022080000}"/>
    <cellStyle name="PSdesc 3" xfId="1497" xr:uid="{00000000-0005-0000-0000-000023080000}"/>
    <cellStyle name="PSHeading" xfId="1045" xr:uid="{00000000-0005-0000-0000-000024080000}"/>
    <cellStyle name="PSHeading 2" xfId="1046" xr:uid="{00000000-0005-0000-0000-000025080000}"/>
    <cellStyle name="PSHeading 2 2" xfId="1443" xr:uid="{00000000-0005-0000-0000-000026080000}"/>
    <cellStyle name="PSHeading 3" xfId="1047" xr:uid="{00000000-0005-0000-0000-000027080000}"/>
    <cellStyle name="PSHeading 4" xfId="1048" xr:uid="{00000000-0005-0000-0000-000028080000}"/>
    <cellStyle name="PSHeading 5" xfId="1049" xr:uid="{00000000-0005-0000-0000-000029080000}"/>
    <cellStyle name="PSHeading 5 2" xfId="1050" xr:uid="{00000000-0005-0000-0000-00002A080000}"/>
    <cellStyle name="PSHeading 6" xfId="1051" xr:uid="{00000000-0005-0000-0000-00002B080000}"/>
    <cellStyle name="PSHeading 6 2" xfId="1052" xr:uid="{00000000-0005-0000-0000-00002C080000}"/>
    <cellStyle name="PSInt" xfId="1053" xr:uid="{00000000-0005-0000-0000-00002D080000}"/>
    <cellStyle name="PSInt 2" xfId="1054" xr:uid="{00000000-0005-0000-0000-00002E080000}"/>
    <cellStyle name="PSInt 2 2" xfId="1444" xr:uid="{00000000-0005-0000-0000-00002F080000}"/>
    <cellStyle name="PSInt 3" xfId="1055" xr:uid="{00000000-0005-0000-0000-000030080000}"/>
    <cellStyle name="PSInt 4" xfId="1056" xr:uid="{00000000-0005-0000-0000-000031080000}"/>
    <cellStyle name="PSInt 4 2" xfId="1057" xr:uid="{00000000-0005-0000-0000-000032080000}"/>
    <cellStyle name="PSInt 5" xfId="1058" xr:uid="{00000000-0005-0000-0000-000033080000}"/>
    <cellStyle name="PSInt 5 2" xfId="1059" xr:uid="{00000000-0005-0000-0000-000034080000}"/>
    <cellStyle name="PSSpacer" xfId="1060" xr:uid="{00000000-0005-0000-0000-000035080000}"/>
    <cellStyle name="PSSpacer 2" xfId="1061" xr:uid="{00000000-0005-0000-0000-000036080000}"/>
    <cellStyle name="PSSpacer 2 2" xfId="1445" xr:uid="{00000000-0005-0000-0000-000037080000}"/>
    <cellStyle name="PSSpacer 3" xfId="1062" xr:uid="{00000000-0005-0000-0000-000038080000}"/>
    <cellStyle name="PSSpacer 3 2" xfId="1063" xr:uid="{00000000-0005-0000-0000-000039080000}"/>
    <cellStyle name="PStest" xfId="1064" xr:uid="{00000000-0005-0000-0000-00003A080000}"/>
    <cellStyle name="PStest 2" xfId="1065" xr:uid="{00000000-0005-0000-0000-00003B080000}"/>
    <cellStyle name="PStest 2 2" xfId="2084" xr:uid="{00000000-0005-0000-0000-00003C080000}"/>
    <cellStyle name="PStest 3" xfId="1498" xr:uid="{00000000-0005-0000-0000-00003D080000}"/>
    <cellStyle name="R00A" xfId="1066" xr:uid="{00000000-0005-0000-0000-00003E080000}"/>
    <cellStyle name="R00B" xfId="1067" xr:uid="{00000000-0005-0000-0000-00003F080000}"/>
    <cellStyle name="R00L" xfId="1068" xr:uid="{00000000-0005-0000-0000-000040080000}"/>
    <cellStyle name="R01A" xfId="1069" xr:uid="{00000000-0005-0000-0000-000041080000}"/>
    <cellStyle name="R01B" xfId="1070" xr:uid="{00000000-0005-0000-0000-000042080000}"/>
    <cellStyle name="R01H" xfId="1071" xr:uid="{00000000-0005-0000-0000-000043080000}"/>
    <cellStyle name="R01L" xfId="1072" xr:uid="{00000000-0005-0000-0000-000044080000}"/>
    <cellStyle name="R02A" xfId="1073" xr:uid="{00000000-0005-0000-0000-000045080000}"/>
    <cellStyle name="R02B" xfId="1074" xr:uid="{00000000-0005-0000-0000-000046080000}"/>
    <cellStyle name="R02B 2" xfId="1075" xr:uid="{00000000-0005-0000-0000-000047080000}"/>
    <cellStyle name="R02B 2 2" xfId="2085" xr:uid="{00000000-0005-0000-0000-000048080000}"/>
    <cellStyle name="R02B 3" xfId="1499" xr:uid="{00000000-0005-0000-0000-000049080000}"/>
    <cellStyle name="R02H" xfId="1076" xr:uid="{00000000-0005-0000-0000-00004A080000}"/>
    <cellStyle name="R02L" xfId="1077" xr:uid="{00000000-0005-0000-0000-00004B080000}"/>
    <cellStyle name="R03A" xfId="1078" xr:uid="{00000000-0005-0000-0000-00004C080000}"/>
    <cellStyle name="R03B" xfId="1079" xr:uid="{00000000-0005-0000-0000-00004D080000}"/>
    <cellStyle name="R03B 2" xfId="1080" xr:uid="{00000000-0005-0000-0000-00004E080000}"/>
    <cellStyle name="R03B 2 2" xfId="2086" xr:uid="{00000000-0005-0000-0000-00004F080000}"/>
    <cellStyle name="R03B 3" xfId="1500" xr:uid="{00000000-0005-0000-0000-000050080000}"/>
    <cellStyle name="R03H" xfId="1081" xr:uid="{00000000-0005-0000-0000-000051080000}"/>
    <cellStyle name="R03L" xfId="1082" xr:uid="{00000000-0005-0000-0000-000052080000}"/>
    <cellStyle name="R04A" xfId="1083" xr:uid="{00000000-0005-0000-0000-000053080000}"/>
    <cellStyle name="R04B" xfId="1084" xr:uid="{00000000-0005-0000-0000-000054080000}"/>
    <cellStyle name="R04B 2" xfId="1085" xr:uid="{00000000-0005-0000-0000-000055080000}"/>
    <cellStyle name="R04B 2 2" xfId="2087" xr:uid="{00000000-0005-0000-0000-000056080000}"/>
    <cellStyle name="R04B 3" xfId="1501" xr:uid="{00000000-0005-0000-0000-000057080000}"/>
    <cellStyle name="R04H" xfId="1086" xr:uid="{00000000-0005-0000-0000-000058080000}"/>
    <cellStyle name="R04L" xfId="1087" xr:uid="{00000000-0005-0000-0000-000059080000}"/>
    <cellStyle name="R05A" xfId="1088" xr:uid="{00000000-0005-0000-0000-00005A080000}"/>
    <cellStyle name="R05B" xfId="1089" xr:uid="{00000000-0005-0000-0000-00005B080000}"/>
    <cellStyle name="R05B 2" xfId="1090" xr:uid="{00000000-0005-0000-0000-00005C080000}"/>
    <cellStyle name="R05B 2 2" xfId="2088" xr:uid="{00000000-0005-0000-0000-00005D080000}"/>
    <cellStyle name="R05B 3" xfId="1502" xr:uid="{00000000-0005-0000-0000-00005E080000}"/>
    <cellStyle name="R05H" xfId="1091" xr:uid="{00000000-0005-0000-0000-00005F080000}"/>
    <cellStyle name="R05L" xfId="1092" xr:uid="{00000000-0005-0000-0000-000060080000}"/>
    <cellStyle name="R05L 2" xfId="1093" xr:uid="{00000000-0005-0000-0000-000061080000}"/>
    <cellStyle name="R05L 2 2" xfId="2089" xr:uid="{00000000-0005-0000-0000-000062080000}"/>
    <cellStyle name="R05L 3" xfId="1503" xr:uid="{00000000-0005-0000-0000-000063080000}"/>
    <cellStyle name="R06A" xfId="1094" xr:uid="{00000000-0005-0000-0000-000064080000}"/>
    <cellStyle name="R06B" xfId="1095" xr:uid="{00000000-0005-0000-0000-000065080000}"/>
    <cellStyle name="R06B 2" xfId="1096" xr:uid="{00000000-0005-0000-0000-000066080000}"/>
    <cellStyle name="R06B 2 2" xfId="2090" xr:uid="{00000000-0005-0000-0000-000067080000}"/>
    <cellStyle name="R06B 3" xfId="1504" xr:uid="{00000000-0005-0000-0000-000068080000}"/>
    <cellStyle name="R06H" xfId="1097" xr:uid="{00000000-0005-0000-0000-000069080000}"/>
    <cellStyle name="R06L" xfId="1098" xr:uid="{00000000-0005-0000-0000-00006A080000}"/>
    <cellStyle name="R07A" xfId="1099" xr:uid="{00000000-0005-0000-0000-00006B080000}"/>
    <cellStyle name="R07B" xfId="1100" xr:uid="{00000000-0005-0000-0000-00006C080000}"/>
    <cellStyle name="R07B 2" xfId="1101" xr:uid="{00000000-0005-0000-0000-00006D080000}"/>
    <cellStyle name="R07B 2 2" xfId="2091" xr:uid="{00000000-0005-0000-0000-00006E080000}"/>
    <cellStyle name="R07B 3" xfId="1505" xr:uid="{00000000-0005-0000-0000-00006F080000}"/>
    <cellStyle name="R07H" xfId="1102" xr:uid="{00000000-0005-0000-0000-000070080000}"/>
    <cellStyle name="R07L" xfId="1103" xr:uid="{00000000-0005-0000-0000-000071080000}"/>
    <cellStyle name="Title" xfId="1104" builtinId="15" customBuiltin="1"/>
    <cellStyle name="Title 2" xfId="1105" xr:uid="{00000000-0005-0000-0000-000073080000}"/>
    <cellStyle name="Title 2 2" xfId="1106" xr:uid="{00000000-0005-0000-0000-000074080000}"/>
    <cellStyle name="Title 2 3" xfId="1107" xr:uid="{00000000-0005-0000-0000-000075080000}"/>
    <cellStyle name="Title 2 4" xfId="1108" xr:uid="{00000000-0005-0000-0000-000076080000}"/>
    <cellStyle name="Title 2 5" xfId="1446" xr:uid="{00000000-0005-0000-0000-000077080000}"/>
    <cellStyle name="Title 3" xfId="1447" xr:uid="{00000000-0005-0000-0000-000078080000}"/>
    <cellStyle name="Total" xfId="1109" builtinId="25" customBuiltin="1"/>
    <cellStyle name="Total 2" xfId="1110" xr:uid="{00000000-0005-0000-0000-00007A080000}"/>
    <cellStyle name="Total 2 2" xfId="1111" xr:uid="{00000000-0005-0000-0000-00007B080000}"/>
    <cellStyle name="Total 2 3" xfId="1112" xr:uid="{00000000-0005-0000-0000-00007C080000}"/>
    <cellStyle name="Total 2 4" xfId="1113" xr:uid="{00000000-0005-0000-0000-00007D080000}"/>
    <cellStyle name="Total 2 4 2" xfId="2092" xr:uid="{00000000-0005-0000-0000-00007E080000}"/>
    <cellStyle name="Total 2 5" xfId="1114" xr:uid="{00000000-0005-0000-0000-00007F080000}"/>
    <cellStyle name="Total 2 6" xfId="1448" xr:uid="{00000000-0005-0000-0000-000080080000}"/>
    <cellStyle name="Total 3" xfId="1115" xr:uid="{00000000-0005-0000-0000-000081080000}"/>
    <cellStyle name="Total 3 2" xfId="1116" xr:uid="{00000000-0005-0000-0000-000082080000}"/>
    <cellStyle name="Total 3 3" xfId="1449" xr:uid="{00000000-0005-0000-0000-000083080000}"/>
    <cellStyle name="Total 4" xfId="1450" xr:uid="{00000000-0005-0000-0000-000084080000}"/>
    <cellStyle name="Warning Text" xfId="1117" builtinId="11" customBuiltin="1"/>
    <cellStyle name="Warning Text 2" xfId="1118" xr:uid="{00000000-0005-0000-0000-000086080000}"/>
    <cellStyle name="Warning Text 2 2" xfId="1119" xr:uid="{00000000-0005-0000-0000-000087080000}"/>
    <cellStyle name="Warning Text 2 3" xfId="1120" xr:uid="{00000000-0005-0000-0000-000088080000}"/>
    <cellStyle name="Warning Text 2 4" xfId="1121" xr:uid="{00000000-0005-0000-0000-000089080000}"/>
    <cellStyle name="Warning Text 2 5" xfId="1122" xr:uid="{00000000-0005-0000-0000-00008A080000}"/>
    <cellStyle name="Warning Text 3" xfId="1451" xr:uid="{00000000-0005-0000-0000-00008B080000}"/>
    <cellStyle name="Warning Text 4" xfId="1506" xr:uid="{00000000-0005-0000-0000-00008C080000}"/>
  </cellStyles>
  <dxfs count="13">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FF99"/>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2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zoomScale="81" zoomScaleNormal="81" zoomScaleSheetLayoutView="88" zoomScalePageLayoutView="70" workbookViewId="0">
      <selection activeCell="D6" sqref="D6"/>
    </sheetView>
  </sheetViews>
  <sheetFormatPr defaultColWidth="11.42578125" defaultRowHeight="15"/>
  <cols>
    <col min="1" max="1" width="4.28515625" style="53" customWidth="1"/>
    <col min="2" max="2" width="5.7109375" style="52" bestFit="1" customWidth="1"/>
    <col min="3" max="3" width="2" style="53" customWidth="1"/>
    <col min="4" max="4" width="47.7109375" style="53" customWidth="1"/>
    <col min="5" max="5" width="25.7109375" style="53" customWidth="1"/>
    <col min="6" max="6" width="12.5703125" style="53" customWidth="1"/>
    <col min="7" max="7" width="32.28515625" style="53" bestFit="1" customWidth="1"/>
    <col min="8" max="8" width="2.7109375" style="53" customWidth="1"/>
    <col min="9" max="9" width="19.42578125" style="53" bestFit="1" customWidth="1"/>
    <col min="10" max="10" width="2.7109375" style="53" customWidth="1"/>
    <col min="11" max="11" width="18" style="53" bestFit="1" customWidth="1"/>
    <col min="12" max="12" width="2.5703125" style="53" customWidth="1"/>
    <col min="13" max="13" width="21.7109375" style="53" customWidth="1"/>
    <col min="14" max="14" width="11.28515625" style="53" customWidth="1"/>
    <col min="15" max="15" width="17.28515625" style="53" customWidth="1"/>
    <col min="16" max="17" width="13.7109375" style="53" customWidth="1"/>
    <col min="18" max="18" width="11.42578125" style="53"/>
    <col min="19" max="19" width="16.42578125" style="53" customWidth="1"/>
    <col min="20" max="16384" width="11.42578125" style="53"/>
  </cols>
  <sheetData>
    <row r="1" spans="1:23">
      <c r="A1" s="51"/>
    </row>
    <row r="2" spans="1:23">
      <c r="A2" s="54"/>
      <c r="B2" s="54"/>
      <c r="C2" s="54"/>
      <c r="D2" s="54"/>
      <c r="E2" s="54"/>
      <c r="F2" s="54"/>
      <c r="G2" s="54"/>
      <c r="H2" s="54"/>
      <c r="J2" s="54"/>
      <c r="K2" s="54"/>
      <c r="L2" s="54"/>
      <c r="M2" s="55"/>
      <c r="N2" s="56"/>
    </row>
    <row r="3" spans="1:23">
      <c r="M3" s="55"/>
    </row>
    <row r="4" spans="1:23">
      <c r="D4" s="57"/>
      <c r="E4" s="57"/>
      <c r="F4" s="58" t="s">
        <v>916</v>
      </c>
      <c r="G4" s="59"/>
      <c r="H4" s="59"/>
      <c r="K4" s="57"/>
      <c r="L4" s="60"/>
    </row>
    <row r="5" spans="1:23">
      <c r="D5" s="57"/>
      <c r="E5" s="61"/>
      <c r="F5" s="62" t="s">
        <v>530</v>
      </c>
      <c r="G5" s="59"/>
      <c r="H5" s="59"/>
      <c r="K5" s="61"/>
      <c r="L5" s="60"/>
    </row>
    <row r="6" spans="1:23">
      <c r="D6" s="60"/>
      <c r="E6" s="60"/>
      <c r="F6" s="63" t="str">
        <f>"For the "&amp;'OKT TCOS'!$N$2&amp;" Rate Year "</f>
        <v xml:space="preserve">For the 2022 Rate Year </v>
      </c>
      <c r="G6" s="59"/>
      <c r="H6" s="59"/>
      <c r="K6" s="60"/>
      <c r="L6" s="60"/>
      <c r="M6" s="60"/>
    </row>
    <row r="7" spans="1:23">
      <c r="B7" s="64"/>
      <c r="C7" s="65"/>
      <c r="D7" s="60"/>
      <c r="H7" s="66"/>
      <c r="J7" s="66"/>
      <c r="K7" s="66"/>
      <c r="L7" s="66"/>
      <c r="M7" s="60"/>
    </row>
    <row r="8" spans="1:23" ht="15.75">
      <c r="B8" s="64"/>
      <c r="C8" s="65"/>
      <c r="D8" s="60"/>
      <c r="F8" s="67" t="s">
        <v>657</v>
      </c>
      <c r="G8" s="68"/>
      <c r="H8" s="60"/>
      <c r="J8" s="60"/>
      <c r="K8" s="60"/>
      <c r="L8" s="60"/>
      <c r="O8" s="69"/>
      <c r="P8" s="69"/>
      <c r="Q8" s="69"/>
      <c r="R8" s="69"/>
      <c r="S8" s="69"/>
      <c r="T8" s="69"/>
      <c r="U8" s="69"/>
      <c r="V8" s="69"/>
      <c r="W8" s="69"/>
    </row>
    <row r="9" spans="1:23" ht="15.75">
      <c r="B9" s="64"/>
      <c r="C9" s="65"/>
      <c r="D9" s="60"/>
      <c r="E9" s="60"/>
      <c r="F9" s="66"/>
      <c r="G9" s="68"/>
      <c r="H9" s="60"/>
      <c r="I9" s="70" t="s">
        <v>917</v>
      </c>
      <c r="J9" s="60"/>
      <c r="K9" s="71" t="s">
        <v>918</v>
      </c>
      <c r="L9" s="71"/>
      <c r="M9" s="72" t="s">
        <v>919</v>
      </c>
      <c r="O9" s="69"/>
      <c r="P9" s="69"/>
      <c r="Q9" s="69"/>
      <c r="R9" s="69"/>
      <c r="S9" s="69"/>
      <c r="T9" s="69"/>
      <c r="U9" s="69"/>
      <c r="V9" s="69"/>
      <c r="W9" s="69"/>
    </row>
    <row r="10" spans="1:23" ht="15.75">
      <c r="B10" s="64" t="s">
        <v>305</v>
      </c>
      <c r="C10" s="65"/>
      <c r="D10" s="60"/>
      <c r="E10" s="60"/>
      <c r="F10" s="71"/>
      <c r="G10" s="68"/>
      <c r="H10" s="60"/>
      <c r="I10" s="70" t="s">
        <v>32</v>
      </c>
      <c r="J10" s="60"/>
      <c r="K10" s="71" t="s">
        <v>32</v>
      </c>
      <c r="L10" s="71"/>
      <c r="M10" s="71" t="s">
        <v>32</v>
      </c>
      <c r="O10" s="69"/>
      <c r="P10" s="69"/>
      <c r="Q10" s="69"/>
      <c r="R10" s="69"/>
      <c r="S10" s="69"/>
      <c r="T10" s="69"/>
      <c r="U10" s="69"/>
      <c r="V10" s="69"/>
      <c r="W10" s="69"/>
    </row>
    <row r="11" spans="1:23" ht="16.5" thickBot="1">
      <c r="B11" s="73" t="s">
        <v>254</v>
      </c>
      <c r="C11" s="74"/>
      <c r="D11" s="60"/>
      <c r="E11" s="74"/>
      <c r="F11" s="60"/>
      <c r="G11" s="60"/>
      <c r="H11" s="60"/>
      <c r="I11" s="70" t="s">
        <v>119</v>
      </c>
      <c r="J11" s="60"/>
      <c r="K11" s="70" t="s">
        <v>119</v>
      </c>
      <c r="L11" s="71"/>
      <c r="M11" s="70" t="s">
        <v>119</v>
      </c>
      <c r="O11" s="69"/>
      <c r="P11" s="69"/>
      <c r="Q11" s="69"/>
      <c r="R11" s="69"/>
      <c r="S11" s="69"/>
      <c r="T11" s="69"/>
      <c r="U11" s="69"/>
      <c r="V11" s="69"/>
      <c r="W11" s="69"/>
    </row>
    <row r="12" spans="1:23">
      <c r="B12" s="75"/>
      <c r="C12" s="74"/>
      <c r="D12" s="60"/>
      <c r="E12" s="74"/>
      <c r="F12" s="60"/>
      <c r="G12" s="60"/>
      <c r="H12" s="60"/>
      <c r="J12" s="60"/>
      <c r="L12" s="60"/>
      <c r="O12" s="69"/>
      <c r="P12" s="69"/>
      <c r="Q12" s="69"/>
      <c r="R12" s="69"/>
      <c r="S12" s="69"/>
      <c r="T12" s="69"/>
      <c r="U12" s="69"/>
      <c r="V12" s="69"/>
      <c r="W12" s="69"/>
    </row>
    <row r="13" spans="1:23" ht="15.75">
      <c r="A13" s="70" t="s">
        <v>120</v>
      </c>
      <c r="B13" s="76" t="s">
        <v>531</v>
      </c>
      <c r="C13" s="74"/>
      <c r="D13" s="60"/>
      <c r="E13" s="74"/>
      <c r="F13" s="60"/>
      <c r="G13" s="60"/>
      <c r="H13" s="60"/>
      <c r="J13" s="60"/>
      <c r="L13" s="60"/>
      <c r="O13" s="69"/>
      <c r="P13" s="69"/>
      <c r="Q13" s="69"/>
      <c r="R13" s="69"/>
      <c r="S13" s="69"/>
      <c r="T13" s="69"/>
      <c r="U13" s="69"/>
      <c r="V13" s="69"/>
      <c r="W13" s="69"/>
    </row>
    <row r="14" spans="1:23" ht="15.75">
      <c r="A14" s="70"/>
      <c r="B14" s="75">
        <v>1</v>
      </c>
      <c r="C14" s="74"/>
      <c r="D14" s="77" t="s">
        <v>532</v>
      </c>
      <c r="E14" s="74"/>
      <c r="F14" s="60"/>
      <c r="G14" s="65" t="str">
        <f>"(TCOS Line "&amp;'OKT TCOS'!B12&amp;" )"</f>
        <v>(TCOS Line 1 )</v>
      </c>
      <c r="H14" s="60"/>
      <c r="I14" s="78">
        <f>+K14+M14</f>
        <v>180699966.10171384</v>
      </c>
      <c r="J14" s="60"/>
      <c r="K14" s="79">
        <f>+'OKT TCOS'!L12</f>
        <v>180543014.47101551</v>
      </c>
      <c r="L14" s="60"/>
      <c r="M14" s="79">
        <f>+'SWT TCOS'!L12</f>
        <v>156951.63069833507</v>
      </c>
      <c r="N14" s="80"/>
      <c r="O14" s="69"/>
      <c r="P14" s="69"/>
      <c r="Q14" s="69"/>
      <c r="R14" s="69"/>
      <c r="S14" s="69"/>
      <c r="T14" s="69"/>
      <c r="U14" s="69"/>
      <c r="V14" s="69"/>
      <c r="W14" s="69"/>
    </row>
    <row r="15" spans="1:23" ht="15.75">
      <c r="A15" s="70"/>
      <c r="B15" s="75"/>
      <c r="C15" s="74"/>
      <c r="D15" s="77"/>
      <c r="E15" s="74"/>
      <c r="F15" s="60"/>
      <c r="G15" s="60"/>
      <c r="H15" s="60"/>
      <c r="I15" s="78"/>
      <c r="J15" s="60"/>
      <c r="K15" s="79"/>
      <c r="L15" s="60"/>
      <c r="M15" s="79"/>
      <c r="O15" s="69"/>
      <c r="P15" s="69"/>
      <c r="Q15" s="69"/>
      <c r="R15" s="69"/>
      <c r="S15" s="69"/>
      <c r="T15" s="69"/>
      <c r="U15" s="69"/>
      <c r="V15" s="69"/>
      <c r="W15" s="69"/>
    </row>
    <row r="16" spans="1:23" ht="15.75">
      <c r="A16" s="70"/>
      <c r="B16" s="75">
        <f>+B14+1</f>
        <v>2</v>
      </c>
      <c r="C16" s="74"/>
      <c r="D16" s="60" t="s">
        <v>534</v>
      </c>
      <c r="E16" s="74"/>
      <c r="F16" s="60"/>
      <c r="G16" s="65" t="str">
        <f>"(TCOS Line "&amp;'OKT TCOS'!B14&amp;" )"</f>
        <v>(TCOS Line 2 )</v>
      </c>
      <c r="H16" s="60"/>
      <c r="I16" s="78">
        <f>(K16+M16)</f>
        <v>4191702.7139999941</v>
      </c>
      <c r="J16" s="60"/>
      <c r="K16" s="79">
        <f>+'OKT TCOS'!L14</f>
        <v>4150419.8739999942</v>
      </c>
      <c r="L16" s="81"/>
      <c r="M16" s="79">
        <f>+'SWT TCOS'!L14</f>
        <v>41282.839999999997</v>
      </c>
      <c r="O16" s="69"/>
      <c r="P16" s="69"/>
      <c r="Q16" s="69"/>
      <c r="R16" s="69"/>
      <c r="S16" s="69"/>
      <c r="T16" s="69"/>
      <c r="U16" s="69"/>
      <c r="V16" s="69"/>
      <c r="W16" s="69"/>
    </row>
    <row r="17" spans="1:23" ht="15.75">
      <c r="A17" s="70"/>
      <c r="B17" s="76"/>
      <c r="C17" s="74"/>
      <c r="D17" s="60"/>
      <c r="E17" s="74"/>
      <c r="F17" s="60"/>
      <c r="G17" s="60"/>
      <c r="H17" s="60"/>
      <c r="I17" s="82"/>
      <c r="J17" s="83"/>
      <c r="K17" s="82"/>
      <c r="L17" s="83"/>
      <c r="M17" s="82"/>
      <c r="O17" s="69"/>
      <c r="P17" s="69"/>
      <c r="Q17" s="69"/>
      <c r="R17" s="69"/>
      <c r="S17" s="69"/>
      <c r="T17" s="69"/>
      <c r="U17" s="69"/>
      <c r="V17" s="69"/>
      <c r="W17" s="69"/>
    </row>
    <row r="18" spans="1:23" ht="15.75">
      <c r="A18" s="70"/>
      <c r="B18" s="75">
        <f>+B16+1</f>
        <v>3</v>
      </c>
      <c r="C18" s="74"/>
      <c r="D18" s="77" t="s">
        <v>533</v>
      </c>
      <c r="E18" s="74"/>
      <c r="F18" s="60"/>
      <c r="G18" s="65" t="str">
        <f>"(TCOS Line "&amp;'OKT TCOS'!B16&amp;" )"</f>
        <v>(TCOS Line 3 )</v>
      </c>
      <c r="H18" s="60"/>
      <c r="I18" s="84">
        <f>+K18+M18</f>
        <v>0</v>
      </c>
      <c r="J18" s="83"/>
      <c r="K18" s="84">
        <f>+'OKT TCOS'!L16</f>
        <v>0</v>
      </c>
      <c r="L18" s="83"/>
      <c r="M18" s="84">
        <f>+'SWT TCOS'!L16</f>
        <v>0</v>
      </c>
      <c r="O18" s="69"/>
      <c r="P18" s="69"/>
      <c r="Q18" s="69"/>
      <c r="R18" s="69"/>
      <c r="S18" s="69"/>
      <c r="T18" s="69"/>
      <c r="U18" s="69"/>
      <c r="V18" s="69"/>
      <c r="W18" s="69"/>
    </row>
    <row r="19" spans="1:23" ht="15.75">
      <c r="A19" s="70"/>
      <c r="B19" s="75"/>
      <c r="C19" s="74"/>
      <c r="D19" s="77"/>
      <c r="E19" s="74"/>
      <c r="F19" s="60"/>
      <c r="G19" s="60"/>
      <c r="H19" s="60"/>
      <c r="I19" s="78"/>
      <c r="J19" s="60"/>
      <c r="K19" s="79"/>
      <c r="L19" s="60"/>
      <c r="M19" s="79"/>
      <c r="O19" s="69"/>
      <c r="P19" s="69"/>
      <c r="Q19" s="69"/>
      <c r="R19" s="69"/>
      <c r="S19" s="69"/>
      <c r="T19" s="69"/>
      <c r="U19" s="69"/>
      <c r="V19" s="69"/>
      <c r="W19" s="69"/>
    </row>
    <row r="20" spans="1:23">
      <c r="B20" s="64">
        <f>+B18+1</f>
        <v>4</v>
      </c>
      <c r="C20" s="65"/>
      <c r="D20" s="77" t="s">
        <v>535</v>
      </c>
      <c r="F20" s="85"/>
      <c r="G20" s="65" t="str">
        <f>"(TCOS Line "&amp;'OKT TCOS'!B18&amp;" )"</f>
        <v>(TCOS Line 4 )</v>
      </c>
      <c r="I20" s="86">
        <f>+K20+M20</f>
        <v>176508263.38771388</v>
      </c>
      <c r="J20" s="82"/>
      <c r="K20" s="86">
        <f>+K14+K18-K16</f>
        <v>176392594.59701553</v>
      </c>
      <c r="M20" s="86">
        <f>+M14+M18-M16</f>
        <v>115668.79069833507</v>
      </c>
      <c r="O20" s="69"/>
      <c r="P20" s="69"/>
      <c r="Q20" s="69"/>
      <c r="R20" s="69"/>
      <c r="S20" s="69"/>
      <c r="T20" s="69"/>
      <c r="U20" s="69"/>
      <c r="V20" s="69"/>
      <c r="W20" s="69"/>
    </row>
    <row r="21" spans="1:23">
      <c r="B21" s="64"/>
      <c r="C21" s="65"/>
      <c r="D21" s="77"/>
      <c r="E21" s="60"/>
      <c r="F21" s="85"/>
      <c r="K21" s="87">
        <f>K20/I20</f>
        <v>0.99934468342456995</v>
      </c>
      <c r="M21" s="87">
        <f>1-K21</f>
        <v>6.5531657543005384E-4</v>
      </c>
      <c r="O21" s="69"/>
      <c r="P21" s="69"/>
      <c r="Q21" s="69"/>
      <c r="R21" s="69"/>
      <c r="S21" s="69"/>
      <c r="T21" s="69"/>
      <c r="U21" s="69"/>
      <c r="V21" s="69"/>
      <c r="W21" s="69"/>
    </row>
    <row r="22" spans="1:23">
      <c r="B22" s="64">
        <f>+B20+1</f>
        <v>5</v>
      </c>
      <c r="C22" s="65"/>
      <c r="D22" s="77" t="s">
        <v>536</v>
      </c>
      <c r="E22" s="60"/>
      <c r="F22" s="85"/>
      <c r="O22" s="69"/>
      <c r="P22" s="69"/>
      <c r="Q22" s="69"/>
      <c r="R22" s="69"/>
      <c r="S22" s="69"/>
      <c r="T22" s="69"/>
      <c r="U22" s="69"/>
      <c r="V22" s="69"/>
      <c r="W22" s="69"/>
    </row>
    <row r="23" spans="1:23">
      <c r="B23" s="64">
        <f>+B22+1</f>
        <v>6</v>
      </c>
      <c r="C23" s="65"/>
      <c r="D23" s="77" t="s">
        <v>537</v>
      </c>
      <c r="E23" s="60"/>
      <c r="F23" s="85"/>
      <c r="G23" s="65" t="str">
        <f>"(TCOS Line "&amp;'OKT TCOS'!B23&amp;" )"</f>
        <v>(TCOS Line 5 )</v>
      </c>
      <c r="I23" s="78">
        <f>(K23+M23)</f>
        <v>43732218.925781809</v>
      </c>
      <c r="K23" s="78">
        <f>+'OKT TCOS'!L23</f>
        <v>43732218.925781809</v>
      </c>
      <c r="L23" s="78"/>
      <c r="M23" s="78">
        <f>+'SWT TCOS'!L23</f>
        <v>0</v>
      </c>
      <c r="O23" s="69"/>
      <c r="P23" s="69"/>
      <c r="Q23" s="69"/>
      <c r="R23" s="69"/>
      <c r="S23" s="69"/>
      <c r="T23" s="69"/>
      <c r="U23" s="69"/>
      <c r="V23" s="69"/>
      <c r="W23" s="69"/>
    </row>
    <row r="24" spans="1:23">
      <c r="B24" s="64">
        <f>+B23+1</f>
        <v>7</v>
      </c>
      <c r="C24" s="65"/>
      <c r="D24" s="77" t="s">
        <v>538</v>
      </c>
      <c r="E24" s="60"/>
      <c r="F24" s="85"/>
      <c r="G24" s="65" t="str">
        <f>"(Worksheet F/G)"</f>
        <v>(Worksheet F/G)</v>
      </c>
      <c r="I24" s="78">
        <f>+K24+M24</f>
        <v>0</v>
      </c>
      <c r="K24" s="78">
        <v>0</v>
      </c>
      <c r="L24" s="78"/>
      <c r="M24" s="78">
        <v>0</v>
      </c>
      <c r="O24" s="69"/>
      <c r="P24" s="69"/>
      <c r="Q24" s="69"/>
      <c r="R24" s="69"/>
      <c r="S24" s="69"/>
      <c r="T24" s="69"/>
      <c r="U24" s="69"/>
      <c r="V24" s="69"/>
      <c r="W24" s="69"/>
    </row>
    <row r="25" spans="1:23">
      <c r="B25" s="64">
        <f>+B24+1</f>
        <v>8</v>
      </c>
      <c r="C25" s="65"/>
      <c r="D25" s="77" t="s">
        <v>539</v>
      </c>
      <c r="E25" s="60"/>
      <c r="F25" s="85"/>
      <c r="G25" s="65" t="str">
        <f>"(Worksheet F/G)"</f>
        <v>(Worksheet F/G)</v>
      </c>
      <c r="I25" s="88">
        <f>+K25+M25</f>
        <v>0</v>
      </c>
      <c r="K25" s="88">
        <v>0</v>
      </c>
      <c r="L25" s="78"/>
      <c r="M25" s="88">
        <v>0</v>
      </c>
      <c r="O25" s="69"/>
      <c r="P25" s="69"/>
      <c r="Q25" s="69"/>
      <c r="R25" s="69"/>
      <c r="S25" s="69"/>
      <c r="T25" s="69"/>
      <c r="U25" s="69"/>
      <c r="V25" s="69"/>
      <c r="W25" s="69"/>
    </row>
    <row r="26" spans="1:23">
      <c r="B26" s="64">
        <f>+B25+1</f>
        <v>9</v>
      </c>
      <c r="C26" s="65"/>
      <c r="D26" s="89" t="s">
        <v>540</v>
      </c>
      <c r="E26" s="60" t="s">
        <v>251</v>
      </c>
      <c r="F26" s="85"/>
      <c r="I26" s="78">
        <f>(I25+I24+I23)</f>
        <v>43732218.925781809</v>
      </c>
      <c r="K26" s="78">
        <f>+K25+K24+K23</f>
        <v>43732218.925781809</v>
      </c>
      <c r="L26" s="78"/>
      <c r="M26" s="78">
        <f>+M25+M24+M23</f>
        <v>0</v>
      </c>
      <c r="O26" s="69"/>
      <c r="P26" s="69"/>
      <c r="Q26" s="69"/>
      <c r="R26" s="69"/>
      <c r="S26" s="69"/>
      <c r="T26" s="69"/>
      <c r="U26" s="69"/>
      <c r="V26" s="69"/>
      <c r="W26" s="69"/>
    </row>
    <row r="27" spans="1:23">
      <c r="B27" s="64"/>
      <c r="C27" s="65"/>
      <c r="D27" s="77"/>
      <c r="E27" s="60"/>
      <c r="F27" s="85"/>
      <c r="I27" s="88"/>
      <c r="K27" s="88"/>
      <c r="L27" s="78"/>
      <c r="M27" s="88"/>
      <c r="O27" s="69"/>
      <c r="P27" s="69"/>
      <c r="Q27" s="69"/>
      <c r="R27" s="69"/>
      <c r="S27" s="69"/>
      <c r="T27" s="69"/>
      <c r="U27" s="69"/>
      <c r="V27" s="69"/>
      <c r="W27" s="69"/>
    </row>
    <row r="28" spans="1:23">
      <c r="B28" s="64">
        <f>+B26+1</f>
        <v>10</v>
      </c>
      <c r="C28" s="65"/>
      <c r="D28" s="77" t="s">
        <v>541</v>
      </c>
      <c r="E28" s="60"/>
      <c r="G28" s="85" t="str">
        <f>"(Line "&amp;B20&amp;"- Line "&amp;B26&amp;")"</f>
        <v>(Line 4- Line 9)</v>
      </c>
      <c r="I28" s="78">
        <f>(K28+M28)</f>
        <v>132776044.46193205</v>
      </c>
      <c r="K28" s="78">
        <f>+K20-K26</f>
        <v>132660375.67123371</v>
      </c>
      <c r="L28" s="78"/>
      <c r="M28" s="78">
        <f>+M20-M26</f>
        <v>115668.79069833507</v>
      </c>
      <c r="O28" s="69"/>
      <c r="P28" s="69"/>
      <c r="Q28" s="69"/>
      <c r="R28" s="69"/>
      <c r="S28" s="69"/>
      <c r="T28" s="69"/>
      <c r="U28" s="69"/>
      <c r="V28" s="69"/>
      <c r="W28" s="69"/>
    </row>
    <row r="29" spans="1:23">
      <c r="B29" s="53"/>
      <c r="C29" s="65"/>
      <c r="E29" s="60"/>
      <c r="O29" s="69"/>
      <c r="P29" s="69"/>
      <c r="Q29" s="69"/>
      <c r="R29" s="69"/>
      <c r="S29" s="69"/>
      <c r="T29" s="69"/>
      <c r="U29" s="69"/>
      <c r="V29" s="69"/>
      <c r="W29" s="69"/>
    </row>
    <row r="30" spans="1:23">
      <c r="B30" s="100" t="s">
        <v>1021</v>
      </c>
      <c r="C30" s="65"/>
      <c r="D30" s="1924" t="s">
        <v>1022</v>
      </c>
      <c r="E30" s="60"/>
      <c r="I30" s="78">
        <f>(K30+M30)</f>
        <v>-59595.325136045343</v>
      </c>
      <c r="K30" s="302">
        <v>-59592.064952365996</v>
      </c>
      <c r="M30" s="302">
        <v>-3.260183679348323</v>
      </c>
      <c r="N30"/>
      <c r="O30" s="69"/>
      <c r="P30" s="69"/>
      <c r="Q30" s="69"/>
      <c r="R30" s="69"/>
      <c r="S30" s="69"/>
      <c r="T30" s="69"/>
      <c r="U30" s="69"/>
      <c r="V30" s="69"/>
      <c r="W30" s="69"/>
    </row>
    <row r="31" spans="1:23">
      <c r="B31" s="53"/>
      <c r="C31" s="65"/>
      <c r="E31" s="60"/>
      <c r="O31" s="69"/>
      <c r="P31" s="69"/>
      <c r="Q31" s="69"/>
      <c r="R31" s="69"/>
      <c r="S31" s="69"/>
      <c r="T31" s="69"/>
      <c r="U31" s="69"/>
      <c r="V31" s="69"/>
      <c r="W31" s="69"/>
    </row>
    <row r="32" spans="1:23">
      <c r="B32" s="64">
        <f>+B28+1</f>
        <v>11</v>
      </c>
      <c r="C32" s="65"/>
      <c r="D32" s="77" t="s">
        <v>542</v>
      </c>
      <c r="E32" s="60"/>
      <c r="F32" s="85"/>
      <c r="G32" s="65" t="str">
        <f>"(TCOS Line "&amp;'OKT TCOS'!B35&amp;" )"</f>
        <v>(TCOS Line 13 )</v>
      </c>
      <c r="I32" s="78">
        <f>+K32+M32</f>
        <v>0</v>
      </c>
      <c r="K32" s="78">
        <f>+'OKT TCOS'!L35</f>
        <v>0</v>
      </c>
      <c r="L32" s="78"/>
      <c r="M32" s="78">
        <f>+'SWT TCOS'!L35</f>
        <v>0</v>
      </c>
      <c r="O32" s="69"/>
      <c r="P32" s="69"/>
      <c r="Q32" s="69"/>
      <c r="R32" s="69"/>
      <c r="S32" s="69"/>
      <c r="T32" s="69"/>
      <c r="U32" s="69"/>
      <c r="V32" s="69"/>
      <c r="W32" s="69"/>
    </row>
    <row r="33" spans="2:23" ht="15.75" thickBot="1">
      <c r="B33" s="64"/>
      <c r="C33" s="65"/>
      <c r="D33" s="77"/>
      <c r="E33" s="60"/>
      <c r="F33" s="85"/>
      <c r="I33" s="90"/>
      <c r="K33" s="90"/>
      <c r="L33" s="78"/>
      <c r="M33" s="90"/>
      <c r="O33" s="69"/>
      <c r="P33" s="69"/>
      <c r="Q33" s="69"/>
      <c r="R33" s="69"/>
      <c r="S33" s="69"/>
      <c r="T33" s="69"/>
      <c r="U33" s="69"/>
      <c r="V33" s="69"/>
      <c r="W33" s="69"/>
    </row>
    <row r="34" spans="2:23" ht="16.5" thickBot="1">
      <c r="B34" s="91">
        <f>+B32+1</f>
        <v>12</v>
      </c>
      <c r="C34" s="92"/>
      <c r="D34" s="93" t="s">
        <v>543</v>
      </c>
      <c r="E34" s="94"/>
      <c r="F34" s="95"/>
      <c r="G34" s="96" t="str">
        <f>"(Line "&amp;B28&amp;" + Line "&amp;B30&amp;" + Line "&amp;B32&amp;")"</f>
        <v>(Line 10 + Line 10A + Line 11)</v>
      </c>
      <c r="H34" s="95"/>
      <c r="I34" s="97">
        <f>(I28+I30+I32)</f>
        <v>132716449.136796</v>
      </c>
      <c r="J34" s="95"/>
      <c r="K34" s="97">
        <f>(K28+K30+K32)</f>
        <v>132600783.60628136</v>
      </c>
      <c r="L34" s="97"/>
      <c r="M34" s="97">
        <f>(M28+M30+M32)</f>
        <v>115665.53051465572</v>
      </c>
      <c r="O34" s="69"/>
      <c r="P34" s="69"/>
      <c r="Q34" s="69"/>
      <c r="R34" s="69"/>
      <c r="S34" s="69"/>
      <c r="T34" s="69"/>
      <c r="U34" s="69"/>
      <c r="V34" s="69"/>
      <c r="W34" s="69"/>
    </row>
    <row r="35" spans="2:23">
      <c r="B35" s="64"/>
      <c r="C35" s="65"/>
      <c r="D35" s="77"/>
      <c r="E35" s="60"/>
      <c r="G35" s="85"/>
      <c r="I35" s="78"/>
      <c r="K35" s="78"/>
      <c r="L35" s="78"/>
      <c r="M35" s="78"/>
      <c r="O35" s="69"/>
      <c r="P35" s="69"/>
      <c r="Q35" s="69"/>
      <c r="R35" s="69"/>
      <c r="S35" s="69"/>
      <c r="T35" s="69"/>
      <c r="U35" s="69"/>
      <c r="V35" s="69"/>
      <c r="W35" s="69"/>
    </row>
    <row r="36" spans="2:23" ht="15.75">
      <c r="B36" s="75">
        <f>B34+1</f>
        <v>13</v>
      </c>
      <c r="C36" s="74"/>
      <c r="D36" s="77" t="s">
        <v>544</v>
      </c>
      <c r="E36" s="98"/>
      <c r="F36" s="99"/>
      <c r="G36" s="100" t="str">
        <f>"(Load WS, ln "&amp;'Load WS'!A48&amp;")"</f>
        <v>(Load WS, ln 30)</v>
      </c>
      <c r="H36" s="99"/>
      <c r="I36" s="78">
        <f>+M36</f>
        <v>8722.8333333333339</v>
      </c>
      <c r="K36" s="78">
        <f>I36</f>
        <v>8722.8333333333339</v>
      </c>
      <c r="L36" s="78"/>
      <c r="M36" s="78">
        <f>+'Load WS'!Q33</f>
        <v>8722.8333333333339</v>
      </c>
      <c r="O36" s="69"/>
      <c r="P36" s="69"/>
      <c r="Q36" s="69"/>
      <c r="R36" s="69"/>
      <c r="S36" s="69"/>
      <c r="T36" s="69"/>
      <c r="U36" s="69"/>
      <c r="V36" s="69"/>
      <c r="W36" s="69"/>
    </row>
    <row r="37" spans="2:23" ht="15.75">
      <c r="B37" s="75"/>
      <c r="C37" s="74"/>
      <c r="D37" s="101"/>
      <c r="E37" s="98"/>
      <c r="F37" s="99"/>
      <c r="G37" s="102"/>
      <c r="H37" s="99"/>
      <c r="I37" s="103"/>
      <c r="J37" s="99"/>
      <c r="K37" s="103"/>
      <c r="L37" s="78"/>
      <c r="M37" s="78"/>
      <c r="O37" s="69"/>
      <c r="P37" s="69"/>
      <c r="Q37" s="69"/>
      <c r="R37" s="69"/>
      <c r="S37" s="69"/>
      <c r="T37" s="69"/>
      <c r="U37" s="69"/>
      <c r="V37" s="69"/>
      <c r="W37" s="69"/>
    </row>
    <row r="38" spans="2:23" ht="15.75">
      <c r="B38" s="75">
        <f>B36+1</f>
        <v>14</v>
      </c>
      <c r="C38" s="74"/>
      <c r="D38" s="104" t="str">
        <f>"Monthly NITS Rate in $/MW - Month"</f>
        <v>Monthly NITS Rate in $/MW - Month</v>
      </c>
      <c r="E38" s="98"/>
      <c r="F38" s="99"/>
      <c r="G38" s="1925" t="str">
        <f>"(Line "&amp;B34&amp;" / Line "&amp;B36&amp;") /12 "</f>
        <v xml:space="preserve">(Line 12 / Line 13) /12 </v>
      </c>
      <c r="H38" s="99"/>
      <c r="I38" s="105">
        <f>(I34/I36)/12</f>
        <v>1267.9027183139651</v>
      </c>
      <c r="J38" s="99"/>
      <c r="K38" s="105">
        <f>(K34/K36)/12</f>
        <v>1266.7977110484107</v>
      </c>
      <c r="L38" s="78"/>
      <c r="M38" s="105">
        <f>(M34/M36)/12</f>
        <v>1.105007265554538</v>
      </c>
      <c r="O38" s="69"/>
      <c r="P38" s="69"/>
      <c r="Q38" s="69"/>
      <c r="R38" s="69"/>
      <c r="S38" s="69"/>
      <c r="T38" s="69"/>
      <c r="U38" s="69"/>
      <c r="V38" s="69"/>
      <c r="W38" s="69"/>
    </row>
    <row r="39" spans="2:23">
      <c r="B39" s="64"/>
      <c r="C39" s="65"/>
      <c r="D39" s="77"/>
      <c r="E39" s="60"/>
      <c r="G39" s="85"/>
      <c r="I39" s="78"/>
      <c r="K39" s="78"/>
      <c r="L39" s="78"/>
      <c r="M39" s="78"/>
      <c r="O39" s="69"/>
      <c r="P39" s="69"/>
      <c r="Q39" s="69"/>
      <c r="R39" s="69"/>
      <c r="S39" s="69"/>
      <c r="T39" s="69"/>
      <c r="U39" s="69"/>
      <c r="V39" s="69"/>
      <c r="W39" s="69"/>
    </row>
    <row r="40" spans="2:23">
      <c r="B40" s="64"/>
      <c r="C40" s="65"/>
      <c r="D40" s="77"/>
      <c r="E40" s="60"/>
      <c r="F40" s="85"/>
      <c r="I40" s="78"/>
      <c r="K40" s="78"/>
      <c r="L40" s="78"/>
      <c r="M40" s="78"/>
      <c r="O40" s="69"/>
      <c r="P40" s="69"/>
      <c r="Q40" s="69"/>
      <c r="R40" s="69"/>
      <c r="S40" s="69"/>
      <c r="T40" s="69"/>
      <c r="U40" s="69"/>
      <c r="V40" s="69"/>
      <c r="W40" s="69"/>
    </row>
    <row r="41" spans="2:23">
      <c r="B41" s="106"/>
      <c r="C41" s="60"/>
      <c r="D41" s="60"/>
      <c r="E41" s="60"/>
      <c r="F41" s="60"/>
      <c r="G41" s="60"/>
      <c r="H41" s="60"/>
      <c r="I41" s="297"/>
      <c r="J41" s="60"/>
      <c r="K41" s="60"/>
      <c r="L41" s="60"/>
      <c r="M41" s="54"/>
      <c r="N41" s="60"/>
      <c r="O41" s="69"/>
      <c r="P41" s="69"/>
      <c r="Q41" s="69"/>
      <c r="R41" s="69"/>
      <c r="S41" s="69"/>
      <c r="T41" s="69"/>
      <c r="U41" s="69"/>
      <c r="V41" s="69"/>
      <c r="W41" s="69"/>
    </row>
    <row r="42" spans="2:23">
      <c r="B42" s="106"/>
      <c r="C42" s="60"/>
      <c r="D42" s="60"/>
      <c r="E42" s="60"/>
      <c r="F42" s="60"/>
      <c r="G42" s="60"/>
      <c r="H42" s="60"/>
      <c r="I42" s="60"/>
      <c r="J42" s="60"/>
      <c r="K42" s="60"/>
      <c r="L42" s="60"/>
      <c r="M42" s="54"/>
      <c r="N42" s="60"/>
      <c r="O42" s="69"/>
      <c r="P42" s="69"/>
      <c r="Q42" s="69"/>
      <c r="R42" s="69"/>
      <c r="S42" s="69"/>
      <c r="T42" s="69"/>
      <c r="U42" s="69"/>
      <c r="V42" s="69"/>
      <c r="W42" s="69"/>
    </row>
    <row r="43" spans="2:23">
      <c r="B43" s="106"/>
      <c r="C43" s="60"/>
      <c r="D43" s="60"/>
      <c r="E43" s="60"/>
      <c r="F43" s="60"/>
      <c r="G43" s="60"/>
      <c r="H43" s="60"/>
      <c r="I43" s="107"/>
      <c r="J43" s="60"/>
      <c r="K43" s="60"/>
      <c r="L43" s="60"/>
      <c r="M43" s="54"/>
      <c r="N43" s="60"/>
      <c r="O43" s="60"/>
      <c r="P43" s="60"/>
      <c r="Q43" s="60"/>
      <c r="R43" s="60"/>
      <c r="S43" s="60"/>
      <c r="T43" s="60"/>
      <c r="U43" s="60"/>
      <c r="V43" s="60"/>
      <c r="W43" s="60"/>
    </row>
    <row r="44" spans="2:23">
      <c r="B44" s="106"/>
      <c r="C44" s="60"/>
      <c r="D44" s="60"/>
      <c r="E44" s="60"/>
      <c r="F44" s="60"/>
      <c r="G44" s="60"/>
      <c r="H44" s="60"/>
      <c r="I44" s="60"/>
      <c r="J44" s="60"/>
      <c r="K44" s="60"/>
      <c r="L44" s="60"/>
      <c r="M44" s="54"/>
      <c r="N44" s="60"/>
      <c r="O44" s="60"/>
      <c r="P44" s="60"/>
      <c r="Q44" s="60"/>
      <c r="R44" s="60"/>
      <c r="S44" s="60"/>
      <c r="T44" s="60"/>
      <c r="U44" s="60"/>
      <c r="V44" s="60"/>
      <c r="W44" s="60"/>
    </row>
    <row r="45" spans="2:23">
      <c r="B45" s="106"/>
      <c r="C45" s="60"/>
      <c r="D45" s="60"/>
      <c r="E45" s="60"/>
      <c r="F45" s="60"/>
      <c r="G45" s="60"/>
      <c r="H45" s="60"/>
      <c r="I45" s="60"/>
      <c r="J45" s="60"/>
      <c r="K45" s="60"/>
      <c r="L45" s="60"/>
      <c r="M45" s="60"/>
      <c r="N45" s="60"/>
      <c r="O45" s="60"/>
      <c r="P45" s="60"/>
      <c r="Q45" s="60"/>
      <c r="R45" s="60"/>
      <c r="S45" s="60"/>
      <c r="T45" s="60"/>
      <c r="U45" s="60"/>
      <c r="V45" s="60"/>
      <c r="W45" s="60"/>
    </row>
    <row r="46" spans="2:23">
      <c r="B46" s="106"/>
      <c r="C46" s="60"/>
      <c r="D46" s="60"/>
      <c r="E46" s="60"/>
      <c r="F46" s="60"/>
      <c r="G46" s="60"/>
      <c r="H46" s="60"/>
      <c r="I46" s="107"/>
      <c r="J46" s="60"/>
      <c r="K46" s="60"/>
      <c r="L46" s="60"/>
      <c r="M46" s="60"/>
      <c r="N46" s="60"/>
      <c r="O46" s="60"/>
      <c r="P46" s="60"/>
      <c r="Q46" s="60"/>
      <c r="R46" s="60"/>
      <c r="S46" s="60"/>
      <c r="T46" s="60"/>
      <c r="U46" s="60"/>
      <c r="V46" s="60"/>
      <c r="W46" s="60"/>
    </row>
    <row r="47" spans="2:23">
      <c r="B47" s="106"/>
      <c r="C47" s="60"/>
      <c r="D47" s="60"/>
      <c r="E47" s="60"/>
      <c r="F47" s="60"/>
      <c r="G47" s="108"/>
      <c r="H47" s="60"/>
      <c r="I47" s="107"/>
      <c r="J47" s="60"/>
      <c r="K47" s="60"/>
      <c r="L47" s="60"/>
      <c r="M47" s="60"/>
      <c r="N47" s="60"/>
      <c r="O47" s="60"/>
      <c r="P47" s="60"/>
      <c r="Q47" s="60"/>
      <c r="R47" s="60"/>
      <c r="S47" s="60"/>
      <c r="T47" s="60"/>
      <c r="U47" s="60"/>
      <c r="V47" s="60"/>
      <c r="W47" s="60"/>
    </row>
    <row r="48" spans="2:23">
      <c r="B48" s="106"/>
      <c r="C48" s="60"/>
      <c r="D48" s="60"/>
      <c r="E48" s="60"/>
      <c r="F48" s="60"/>
      <c r="G48" s="108"/>
      <c r="H48" s="60"/>
      <c r="I48" s="107"/>
      <c r="J48" s="60"/>
      <c r="K48" s="60"/>
      <c r="L48" s="60"/>
      <c r="M48" s="60"/>
      <c r="N48" s="60"/>
      <c r="O48" s="60"/>
      <c r="P48" s="60"/>
      <c r="Q48" s="60"/>
      <c r="R48" s="60"/>
      <c r="S48" s="60"/>
      <c r="T48" s="60"/>
      <c r="U48" s="60"/>
      <c r="V48" s="60"/>
      <c r="W48" s="60"/>
    </row>
    <row r="49" spans="2:23">
      <c r="B49" s="106"/>
      <c r="C49" s="60"/>
      <c r="D49" s="60"/>
      <c r="E49" s="60"/>
      <c r="F49" s="109"/>
      <c r="G49" s="108"/>
      <c r="H49" s="60"/>
      <c r="I49" s="107"/>
      <c r="J49" s="60"/>
      <c r="K49" s="60"/>
      <c r="L49" s="60"/>
      <c r="M49" s="60"/>
      <c r="N49" s="60"/>
      <c r="O49" s="60"/>
      <c r="P49" s="60"/>
      <c r="Q49" s="60"/>
      <c r="R49" s="60"/>
      <c r="S49" s="60"/>
      <c r="T49" s="60"/>
      <c r="U49" s="60"/>
      <c r="V49" s="60"/>
      <c r="W49" s="60"/>
    </row>
    <row r="50" spans="2:23">
      <c r="B50" s="106"/>
      <c r="C50" s="60"/>
      <c r="D50" s="60"/>
      <c r="E50" s="60"/>
      <c r="F50" s="60"/>
      <c r="G50" s="60"/>
      <c r="H50" s="60"/>
      <c r="I50" s="107"/>
      <c r="J50" s="60"/>
      <c r="K50" s="60"/>
      <c r="L50" s="60"/>
      <c r="M50" s="60"/>
      <c r="N50" s="60"/>
      <c r="O50" s="60"/>
      <c r="P50" s="60"/>
      <c r="Q50" s="60"/>
      <c r="R50" s="60"/>
      <c r="S50" s="60"/>
      <c r="T50" s="60"/>
      <c r="U50" s="60"/>
      <c r="V50" s="60"/>
      <c r="W50" s="60"/>
    </row>
    <row r="51" spans="2:23">
      <c r="B51" s="106"/>
      <c r="C51" s="60"/>
      <c r="D51" s="60"/>
      <c r="E51" s="60"/>
      <c r="F51" s="60"/>
      <c r="G51" s="60"/>
      <c r="H51" s="60"/>
      <c r="I51" s="107"/>
      <c r="J51" s="60"/>
      <c r="K51" s="60"/>
      <c r="L51" s="60"/>
      <c r="M51" s="60"/>
      <c r="N51" s="60"/>
      <c r="O51" s="60"/>
      <c r="P51" s="60"/>
      <c r="Q51" s="60"/>
      <c r="R51" s="60"/>
      <c r="S51" s="60"/>
      <c r="T51" s="60"/>
      <c r="U51" s="60"/>
      <c r="V51" s="60"/>
      <c r="W51" s="60"/>
    </row>
    <row r="52" spans="2:23">
      <c r="B52" s="106"/>
      <c r="C52" s="60"/>
      <c r="D52" s="60"/>
      <c r="E52" s="60"/>
      <c r="F52" s="60"/>
      <c r="G52" s="60"/>
      <c r="H52" s="60"/>
      <c r="I52" s="107"/>
      <c r="J52" s="60"/>
      <c r="K52" s="60"/>
      <c r="L52" s="60"/>
      <c r="M52" s="60"/>
      <c r="N52" s="60"/>
      <c r="O52" s="60"/>
      <c r="P52" s="60"/>
      <c r="Q52" s="60"/>
      <c r="R52" s="60"/>
      <c r="S52" s="60"/>
      <c r="T52" s="60"/>
      <c r="U52" s="60"/>
      <c r="V52" s="60"/>
      <c r="W52" s="60"/>
    </row>
    <row r="53" spans="2:23">
      <c r="B53" s="106"/>
      <c r="C53" s="60"/>
      <c r="D53" s="60"/>
      <c r="E53" s="60"/>
      <c r="F53" s="60"/>
      <c r="G53" s="60"/>
      <c r="H53" s="60"/>
      <c r="I53" s="60"/>
      <c r="J53" s="60"/>
      <c r="K53" s="60"/>
      <c r="L53" s="60"/>
      <c r="M53" s="60"/>
      <c r="N53" s="60"/>
      <c r="O53" s="60"/>
      <c r="P53" s="60"/>
      <c r="Q53" s="60"/>
      <c r="R53" s="60"/>
      <c r="S53" s="60"/>
      <c r="T53" s="60"/>
      <c r="U53" s="60"/>
      <c r="V53" s="60"/>
      <c r="W53" s="60"/>
    </row>
    <row r="54" spans="2:23">
      <c r="B54" s="106"/>
      <c r="C54" s="60"/>
      <c r="D54" s="60"/>
      <c r="E54" s="60"/>
      <c r="F54" s="60"/>
      <c r="G54" s="60"/>
      <c r="H54" s="60"/>
      <c r="I54" s="60"/>
      <c r="J54" s="60"/>
      <c r="K54" s="60"/>
      <c r="L54" s="60"/>
      <c r="M54" s="60"/>
      <c r="N54" s="60"/>
      <c r="O54" s="60"/>
      <c r="P54" s="60"/>
      <c r="Q54" s="60"/>
      <c r="R54" s="60"/>
      <c r="S54" s="60"/>
      <c r="T54" s="60"/>
      <c r="U54" s="60"/>
      <c r="V54" s="60"/>
      <c r="W54" s="60"/>
    </row>
    <row r="55" spans="2:23">
      <c r="B55" s="106"/>
      <c r="C55" s="60"/>
      <c r="D55" s="60"/>
      <c r="E55" s="60"/>
      <c r="F55" s="60"/>
      <c r="G55" s="60"/>
      <c r="H55" s="60"/>
      <c r="I55" s="60"/>
      <c r="J55" s="60"/>
      <c r="K55" s="60"/>
      <c r="L55" s="60"/>
      <c r="M55" s="60"/>
      <c r="N55" s="60"/>
      <c r="O55" s="60"/>
      <c r="P55" s="60"/>
      <c r="Q55" s="60"/>
      <c r="R55" s="60"/>
      <c r="S55" s="60"/>
      <c r="T55" s="60"/>
      <c r="U55" s="60"/>
      <c r="V55" s="60"/>
      <c r="W55" s="60"/>
    </row>
    <row r="56" spans="2:23">
      <c r="B56" s="106"/>
      <c r="C56" s="60"/>
      <c r="D56" s="60"/>
      <c r="E56" s="60"/>
      <c r="F56" s="60"/>
      <c r="G56" s="60"/>
      <c r="H56" s="60"/>
      <c r="I56" s="60"/>
      <c r="J56" s="60"/>
      <c r="K56" s="60"/>
      <c r="L56" s="60"/>
      <c r="M56" s="60"/>
      <c r="N56" s="60"/>
      <c r="O56" s="60"/>
      <c r="P56" s="60"/>
      <c r="Q56" s="60"/>
      <c r="R56" s="60"/>
      <c r="S56" s="60"/>
      <c r="T56" s="60"/>
      <c r="U56" s="60"/>
      <c r="V56" s="60"/>
      <c r="W56" s="60"/>
    </row>
    <row r="57" spans="2:23">
      <c r="B57" s="106"/>
      <c r="C57" s="60"/>
      <c r="D57" s="60"/>
      <c r="E57" s="60"/>
      <c r="F57" s="60"/>
      <c r="G57" s="60"/>
      <c r="H57" s="60"/>
      <c r="I57" s="60"/>
      <c r="J57" s="60"/>
      <c r="K57" s="60"/>
      <c r="L57" s="60"/>
      <c r="M57" s="60"/>
      <c r="N57" s="60"/>
      <c r="O57" s="60"/>
      <c r="P57" s="60"/>
      <c r="Q57" s="60"/>
      <c r="R57" s="60"/>
      <c r="S57" s="60"/>
      <c r="T57" s="60"/>
      <c r="U57" s="60"/>
      <c r="V57" s="60"/>
      <c r="W57" s="60"/>
    </row>
    <row r="58" spans="2:23">
      <c r="B58" s="106"/>
      <c r="C58" s="60"/>
      <c r="D58" s="60"/>
      <c r="E58" s="60"/>
      <c r="F58" s="60"/>
      <c r="G58" s="60"/>
      <c r="H58" s="60"/>
      <c r="I58" s="60"/>
      <c r="J58" s="60"/>
      <c r="K58" s="60"/>
      <c r="L58" s="60"/>
      <c r="M58" s="60"/>
      <c r="N58" s="60"/>
      <c r="O58" s="60"/>
      <c r="P58" s="60"/>
      <c r="Q58" s="60"/>
      <c r="R58" s="60"/>
      <c r="S58" s="60"/>
      <c r="T58" s="60"/>
      <c r="U58" s="60"/>
      <c r="V58" s="60"/>
      <c r="W58" s="60"/>
    </row>
    <row r="59" spans="2:23">
      <c r="B59" s="106"/>
      <c r="C59" s="60"/>
      <c r="D59" s="60"/>
      <c r="E59" s="60"/>
      <c r="F59" s="60"/>
      <c r="G59" s="60"/>
      <c r="H59" s="60"/>
      <c r="I59" s="60"/>
      <c r="J59" s="60"/>
      <c r="K59" s="60"/>
      <c r="L59" s="60"/>
      <c r="M59" s="60"/>
      <c r="N59" s="60"/>
      <c r="O59" s="60"/>
      <c r="P59" s="60"/>
      <c r="Q59" s="60"/>
      <c r="R59" s="60"/>
      <c r="S59" s="60"/>
      <c r="T59" s="60"/>
      <c r="U59" s="60"/>
      <c r="V59" s="60"/>
      <c r="W59" s="60"/>
    </row>
    <row r="60" spans="2:23">
      <c r="B60" s="106"/>
      <c r="C60" s="60"/>
      <c r="D60" s="60"/>
      <c r="E60" s="60"/>
      <c r="F60" s="60"/>
      <c r="G60" s="60"/>
      <c r="H60" s="60"/>
      <c r="I60" s="60"/>
      <c r="J60" s="60"/>
      <c r="K60" s="60"/>
      <c r="L60" s="60"/>
      <c r="M60" s="60"/>
      <c r="N60" s="60"/>
      <c r="O60" s="60"/>
      <c r="P60" s="60"/>
      <c r="Q60" s="60"/>
      <c r="R60" s="60"/>
      <c r="S60" s="60"/>
      <c r="T60" s="60"/>
      <c r="U60" s="60"/>
      <c r="V60" s="60"/>
      <c r="W60" s="60"/>
    </row>
    <row r="61" spans="2:23">
      <c r="B61" s="106"/>
      <c r="C61" s="60"/>
      <c r="D61" s="60"/>
      <c r="E61" s="60"/>
      <c r="F61" s="60"/>
      <c r="G61" s="60"/>
      <c r="H61" s="60"/>
      <c r="I61" s="60"/>
      <c r="J61" s="60"/>
      <c r="K61" s="60"/>
      <c r="L61" s="60"/>
      <c r="M61" s="60"/>
      <c r="N61" s="60"/>
      <c r="O61" s="60"/>
      <c r="P61" s="60"/>
      <c r="Q61" s="60"/>
      <c r="R61" s="60"/>
      <c r="S61" s="60"/>
      <c r="T61" s="60"/>
      <c r="U61" s="60"/>
      <c r="V61" s="60"/>
      <c r="W61" s="60"/>
    </row>
    <row r="62" spans="2:23">
      <c r="B62" s="106"/>
      <c r="C62" s="60"/>
      <c r="D62" s="60"/>
      <c r="E62" s="60"/>
      <c r="F62" s="60"/>
      <c r="G62" s="60"/>
      <c r="H62" s="60"/>
      <c r="I62" s="60"/>
      <c r="J62" s="60"/>
      <c r="K62" s="60"/>
      <c r="L62" s="60"/>
      <c r="M62" s="60"/>
      <c r="N62" s="60"/>
      <c r="O62" s="60"/>
      <c r="P62" s="60"/>
      <c r="Q62" s="60"/>
      <c r="R62" s="60"/>
      <c r="S62" s="60"/>
      <c r="T62" s="60"/>
      <c r="U62" s="60"/>
      <c r="V62" s="60"/>
      <c r="W62" s="60"/>
    </row>
    <row r="63" spans="2:23">
      <c r="B63" s="106"/>
      <c r="C63" s="60"/>
      <c r="D63" s="60"/>
      <c r="E63" s="60"/>
      <c r="F63" s="60"/>
      <c r="G63" s="60"/>
      <c r="H63" s="60"/>
      <c r="I63" s="60"/>
      <c r="J63" s="60"/>
      <c r="K63" s="60"/>
      <c r="L63" s="60"/>
      <c r="M63" s="60"/>
      <c r="N63" s="60"/>
      <c r="O63" s="60"/>
      <c r="P63" s="60"/>
      <c r="Q63" s="60"/>
      <c r="R63" s="60"/>
      <c r="S63" s="60"/>
      <c r="T63" s="60"/>
      <c r="U63" s="60"/>
      <c r="V63" s="60"/>
      <c r="W63" s="60"/>
    </row>
    <row r="64" spans="2:23">
      <c r="B64" s="106"/>
      <c r="C64" s="60"/>
      <c r="D64" s="60"/>
      <c r="E64" s="60"/>
      <c r="F64" s="60"/>
      <c r="G64" s="60"/>
      <c r="H64" s="60"/>
      <c r="I64" s="60"/>
      <c r="J64" s="60"/>
      <c r="K64" s="60"/>
      <c r="L64" s="60"/>
      <c r="M64" s="60"/>
      <c r="N64" s="60"/>
      <c r="O64" s="60"/>
      <c r="P64" s="60"/>
      <c r="Q64" s="60"/>
      <c r="R64" s="60"/>
      <c r="S64" s="60"/>
      <c r="T64" s="60"/>
      <c r="U64" s="60"/>
      <c r="V64" s="60"/>
      <c r="W64" s="60"/>
    </row>
    <row r="65" spans="2:23">
      <c r="B65" s="106"/>
      <c r="C65" s="60"/>
      <c r="D65" s="60"/>
      <c r="E65" s="60"/>
      <c r="F65" s="60"/>
      <c r="G65" s="60"/>
      <c r="H65" s="60"/>
      <c r="I65" s="60"/>
      <c r="J65" s="60"/>
      <c r="K65" s="60"/>
      <c r="L65" s="60"/>
      <c r="M65" s="60"/>
      <c r="N65" s="60"/>
      <c r="O65" s="60"/>
      <c r="P65" s="60"/>
      <c r="Q65" s="60"/>
      <c r="R65" s="60"/>
      <c r="S65" s="60"/>
      <c r="T65" s="60"/>
      <c r="U65" s="60"/>
      <c r="V65" s="60"/>
      <c r="W65" s="60"/>
    </row>
    <row r="66" spans="2:23">
      <c r="B66" s="106"/>
      <c r="C66" s="60"/>
      <c r="D66" s="60"/>
      <c r="E66" s="60"/>
      <c r="F66" s="60"/>
      <c r="G66" s="60"/>
      <c r="H66" s="60"/>
      <c r="I66" s="60"/>
      <c r="J66" s="60"/>
      <c r="K66" s="60"/>
      <c r="L66" s="60"/>
      <c r="M66" s="60"/>
      <c r="N66" s="60"/>
      <c r="O66" s="60"/>
      <c r="P66" s="60"/>
      <c r="Q66" s="60"/>
      <c r="R66" s="60"/>
      <c r="S66" s="60"/>
      <c r="T66" s="60"/>
      <c r="U66" s="60"/>
      <c r="V66" s="60"/>
      <c r="W66" s="60"/>
    </row>
    <row r="67" spans="2:23">
      <c r="B67" s="106"/>
      <c r="C67" s="60"/>
      <c r="D67" s="60"/>
      <c r="E67" s="60"/>
      <c r="F67" s="60"/>
      <c r="G67" s="60"/>
      <c r="H67" s="60"/>
      <c r="I67" s="60"/>
      <c r="J67" s="60"/>
      <c r="K67" s="60"/>
      <c r="L67" s="60"/>
      <c r="M67" s="60"/>
      <c r="N67" s="60"/>
      <c r="O67" s="60"/>
      <c r="P67" s="60"/>
      <c r="Q67" s="60"/>
      <c r="R67" s="60"/>
      <c r="S67" s="60"/>
      <c r="T67" s="60"/>
      <c r="U67" s="60"/>
      <c r="V67" s="60"/>
      <c r="W67" s="60"/>
    </row>
    <row r="68" spans="2:23">
      <c r="B68" s="106"/>
      <c r="C68" s="60"/>
      <c r="D68" s="60"/>
      <c r="E68" s="60"/>
      <c r="F68" s="60"/>
      <c r="G68" s="60"/>
      <c r="H68" s="60"/>
      <c r="I68" s="60"/>
      <c r="J68" s="60"/>
      <c r="K68" s="60"/>
      <c r="L68" s="60"/>
      <c r="M68" s="60"/>
      <c r="N68" s="60"/>
      <c r="O68" s="60"/>
      <c r="P68" s="60"/>
      <c r="Q68" s="60"/>
      <c r="R68" s="60"/>
      <c r="S68" s="60"/>
      <c r="T68" s="60"/>
      <c r="U68" s="60"/>
      <c r="V68" s="60"/>
      <c r="W68" s="60"/>
    </row>
    <row r="69" spans="2:23">
      <c r="B69" s="106"/>
      <c r="C69" s="60"/>
      <c r="D69" s="60"/>
      <c r="E69" s="60"/>
      <c r="F69" s="60"/>
      <c r="G69" s="60"/>
      <c r="H69" s="60"/>
      <c r="I69" s="60"/>
      <c r="J69" s="60"/>
      <c r="K69" s="60"/>
      <c r="L69" s="60"/>
      <c r="M69" s="60"/>
      <c r="N69" s="60"/>
      <c r="O69" s="60"/>
      <c r="P69" s="60"/>
      <c r="Q69" s="60"/>
      <c r="R69" s="60"/>
      <c r="S69" s="60"/>
      <c r="T69" s="60"/>
      <c r="U69" s="60"/>
      <c r="V69" s="60"/>
      <c r="W69" s="60"/>
    </row>
    <row r="70" spans="2:23">
      <c r="B70" s="106"/>
      <c r="C70" s="60"/>
      <c r="D70" s="60"/>
      <c r="E70" s="60"/>
      <c r="F70" s="60"/>
      <c r="G70" s="60"/>
      <c r="H70" s="60"/>
      <c r="I70" s="60"/>
      <c r="J70" s="60"/>
      <c r="K70" s="60"/>
      <c r="L70" s="60"/>
      <c r="M70" s="60"/>
      <c r="N70" s="60"/>
      <c r="O70" s="60"/>
      <c r="P70" s="60"/>
      <c r="Q70" s="60"/>
      <c r="R70" s="60"/>
      <c r="S70" s="60"/>
      <c r="T70" s="60"/>
      <c r="U70" s="60"/>
      <c r="V70" s="60"/>
      <c r="W70" s="60"/>
    </row>
    <row r="71" spans="2:23">
      <c r="B71" s="106"/>
      <c r="C71" s="60"/>
      <c r="D71" s="60"/>
      <c r="E71" s="60"/>
      <c r="F71" s="60"/>
      <c r="G71" s="60"/>
      <c r="H71" s="60"/>
      <c r="I71" s="60"/>
      <c r="J71" s="60"/>
      <c r="K71" s="60"/>
      <c r="L71" s="60"/>
      <c r="M71" s="60"/>
      <c r="N71" s="60"/>
      <c r="O71" s="60"/>
      <c r="P71" s="60"/>
      <c r="Q71" s="60"/>
      <c r="R71" s="60"/>
      <c r="S71" s="60"/>
      <c r="T71" s="60"/>
      <c r="U71" s="60"/>
      <c r="V71" s="60"/>
      <c r="W71" s="60"/>
    </row>
    <row r="72" spans="2:23">
      <c r="B72" s="106"/>
      <c r="C72" s="60"/>
      <c r="D72" s="60"/>
      <c r="E72" s="60"/>
      <c r="F72" s="60"/>
      <c r="G72" s="60"/>
      <c r="H72" s="60"/>
      <c r="I72" s="60"/>
      <c r="J72" s="60"/>
      <c r="K72" s="60"/>
      <c r="L72" s="60"/>
      <c r="M72" s="60"/>
      <c r="N72" s="60"/>
      <c r="O72" s="60"/>
      <c r="P72" s="60"/>
      <c r="Q72" s="60"/>
      <c r="R72" s="60"/>
      <c r="S72" s="60"/>
      <c r="T72" s="60"/>
      <c r="U72" s="60"/>
      <c r="V72" s="60"/>
      <c r="W72" s="60"/>
    </row>
    <row r="73" spans="2:23">
      <c r="B73" s="106"/>
      <c r="C73" s="60"/>
      <c r="D73" s="60"/>
      <c r="E73" s="60"/>
      <c r="F73" s="60"/>
      <c r="G73" s="60"/>
      <c r="H73" s="60"/>
      <c r="I73" s="60"/>
      <c r="J73" s="60"/>
      <c r="K73" s="60"/>
      <c r="L73" s="60"/>
      <c r="M73" s="60"/>
      <c r="N73" s="60"/>
      <c r="O73" s="60"/>
      <c r="P73" s="60"/>
      <c r="Q73" s="60"/>
      <c r="R73" s="60"/>
      <c r="S73" s="60"/>
      <c r="T73" s="60"/>
      <c r="U73" s="60"/>
      <c r="V73" s="60"/>
      <c r="W73" s="60"/>
    </row>
    <row r="74" spans="2:23">
      <c r="B74" s="106"/>
      <c r="C74" s="60"/>
      <c r="D74" s="60"/>
      <c r="E74" s="60"/>
      <c r="F74" s="60"/>
      <c r="G74" s="60"/>
      <c r="H74" s="60"/>
      <c r="I74" s="60"/>
      <c r="J74" s="60"/>
      <c r="K74" s="60"/>
      <c r="L74" s="60"/>
      <c r="M74" s="60"/>
      <c r="N74" s="60"/>
      <c r="O74" s="60"/>
      <c r="P74" s="60"/>
      <c r="Q74" s="60"/>
      <c r="R74" s="60"/>
      <c r="S74" s="60"/>
      <c r="T74" s="60"/>
      <c r="U74" s="60"/>
      <c r="V74" s="60"/>
      <c r="W74" s="60"/>
    </row>
    <row r="75" spans="2:23">
      <c r="B75" s="106"/>
      <c r="C75" s="60"/>
      <c r="D75" s="60"/>
      <c r="E75" s="60"/>
      <c r="F75" s="60"/>
      <c r="G75" s="60"/>
      <c r="H75" s="60"/>
      <c r="I75" s="60"/>
      <c r="J75" s="60"/>
      <c r="K75" s="60"/>
      <c r="L75" s="60"/>
      <c r="M75" s="60"/>
      <c r="N75" s="60"/>
      <c r="O75" s="60"/>
      <c r="P75" s="60"/>
      <c r="Q75" s="60"/>
      <c r="R75" s="60"/>
      <c r="S75" s="60"/>
      <c r="T75" s="60"/>
      <c r="U75" s="60"/>
      <c r="V75" s="60"/>
      <c r="W75" s="60"/>
    </row>
    <row r="76" spans="2:23">
      <c r="B76" s="106"/>
      <c r="C76" s="60"/>
      <c r="D76" s="60"/>
      <c r="E76" s="60"/>
      <c r="F76" s="60"/>
      <c r="G76" s="60"/>
      <c r="H76" s="60"/>
      <c r="I76" s="60"/>
      <c r="J76" s="60"/>
      <c r="K76" s="60"/>
      <c r="L76" s="60"/>
      <c r="M76" s="60"/>
      <c r="N76" s="60"/>
      <c r="O76" s="60"/>
      <c r="P76" s="60"/>
      <c r="Q76" s="60"/>
      <c r="R76" s="60"/>
      <c r="S76" s="60"/>
      <c r="T76" s="60"/>
      <c r="U76" s="60"/>
      <c r="V76" s="60"/>
      <c r="W76" s="60"/>
    </row>
    <row r="77" spans="2:23">
      <c r="B77" s="106"/>
      <c r="C77" s="60"/>
      <c r="D77" s="60"/>
      <c r="E77" s="60"/>
      <c r="F77" s="60"/>
      <c r="G77" s="60"/>
      <c r="H77" s="60"/>
      <c r="I77" s="60"/>
      <c r="J77" s="60"/>
      <c r="K77" s="60"/>
      <c r="L77" s="60"/>
      <c r="M77" s="60"/>
      <c r="N77" s="60"/>
      <c r="O77" s="60"/>
      <c r="P77" s="60"/>
      <c r="Q77" s="60"/>
      <c r="R77" s="60"/>
      <c r="S77" s="60"/>
      <c r="T77" s="60"/>
      <c r="U77" s="60"/>
      <c r="V77" s="60"/>
      <c r="W77" s="60"/>
    </row>
    <row r="78" spans="2:23">
      <c r="B78" s="106"/>
      <c r="C78" s="60"/>
      <c r="D78" s="60"/>
      <c r="E78" s="60"/>
      <c r="F78" s="60"/>
      <c r="G78" s="60"/>
      <c r="H78" s="60"/>
      <c r="I78" s="60"/>
      <c r="J78" s="60"/>
      <c r="K78" s="60"/>
      <c r="L78" s="60"/>
      <c r="M78" s="60"/>
      <c r="N78" s="60"/>
      <c r="O78" s="60"/>
      <c r="P78" s="60"/>
      <c r="Q78" s="60"/>
      <c r="R78" s="60"/>
      <c r="S78" s="60"/>
      <c r="T78" s="60"/>
      <c r="U78" s="60"/>
      <c r="V78" s="60"/>
      <c r="W78" s="60"/>
    </row>
    <row r="79" spans="2:23">
      <c r="B79" s="106"/>
      <c r="C79" s="60"/>
      <c r="D79" s="60"/>
      <c r="E79" s="60"/>
      <c r="F79" s="60"/>
      <c r="G79" s="60"/>
      <c r="H79" s="60"/>
      <c r="I79" s="60"/>
      <c r="J79" s="60"/>
      <c r="K79" s="60"/>
      <c r="L79" s="60"/>
      <c r="M79" s="60"/>
      <c r="N79" s="60"/>
      <c r="O79" s="60"/>
      <c r="P79" s="60"/>
      <c r="Q79" s="60"/>
      <c r="R79" s="60"/>
      <c r="S79" s="60"/>
      <c r="T79" s="60"/>
      <c r="U79" s="60"/>
      <c r="V79" s="60"/>
      <c r="W79" s="60"/>
    </row>
    <row r="80" spans="2:23">
      <c r="B80" s="106"/>
      <c r="C80" s="60"/>
      <c r="D80" s="60"/>
      <c r="E80" s="60"/>
      <c r="F80" s="60"/>
      <c r="G80" s="60"/>
      <c r="H80" s="60"/>
      <c r="I80" s="60"/>
      <c r="J80" s="60"/>
      <c r="K80" s="60"/>
      <c r="L80" s="60"/>
      <c r="M80" s="60"/>
      <c r="N80" s="60"/>
      <c r="O80" s="60"/>
      <c r="P80" s="60"/>
      <c r="Q80" s="60"/>
      <c r="R80" s="60"/>
      <c r="S80" s="60"/>
      <c r="T80" s="60"/>
      <c r="U80" s="60"/>
      <c r="V80" s="60"/>
      <c r="W80" s="60"/>
    </row>
    <row r="81" spans="2:23">
      <c r="B81" s="106"/>
      <c r="C81" s="60"/>
      <c r="D81" s="60"/>
      <c r="E81" s="60"/>
      <c r="F81" s="60"/>
      <c r="G81" s="60"/>
      <c r="H81" s="60"/>
      <c r="I81" s="60"/>
      <c r="J81" s="60"/>
      <c r="K81" s="60"/>
      <c r="L81" s="60"/>
      <c r="M81" s="60"/>
      <c r="N81" s="60"/>
      <c r="O81" s="60"/>
      <c r="P81" s="60"/>
      <c r="Q81" s="60"/>
      <c r="R81" s="60"/>
      <c r="S81" s="60"/>
      <c r="T81" s="60"/>
      <c r="U81" s="60"/>
      <c r="V81" s="60"/>
      <c r="W81" s="60"/>
    </row>
    <row r="82" spans="2:23">
      <c r="B82" s="106"/>
      <c r="C82" s="60"/>
      <c r="D82" s="60"/>
      <c r="E82" s="60"/>
      <c r="F82" s="60"/>
      <c r="G82" s="60"/>
      <c r="H82" s="60"/>
      <c r="I82" s="60"/>
      <c r="J82" s="60"/>
      <c r="K82" s="60"/>
      <c r="L82" s="60"/>
      <c r="M82" s="60"/>
      <c r="N82" s="60"/>
      <c r="O82" s="60"/>
      <c r="P82" s="60"/>
      <c r="Q82" s="60"/>
      <c r="R82" s="60"/>
      <c r="S82" s="60"/>
      <c r="T82" s="60"/>
      <c r="U82" s="60"/>
      <c r="V82" s="60"/>
      <c r="W82" s="60"/>
    </row>
    <row r="83" spans="2:23">
      <c r="B83" s="106"/>
      <c r="C83" s="60"/>
      <c r="D83" s="60"/>
      <c r="E83" s="60"/>
      <c r="F83" s="60"/>
      <c r="G83" s="60"/>
      <c r="H83" s="60"/>
      <c r="I83" s="60"/>
      <c r="J83" s="60"/>
      <c r="K83" s="60"/>
      <c r="L83" s="60"/>
      <c r="M83" s="60"/>
      <c r="N83" s="60"/>
      <c r="O83" s="60"/>
      <c r="P83" s="60"/>
      <c r="Q83" s="60"/>
      <c r="R83" s="60"/>
      <c r="S83" s="60"/>
      <c r="T83" s="60"/>
      <c r="U83" s="60"/>
      <c r="V83" s="60"/>
      <c r="W83" s="60"/>
    </row>
    <row r="84" spans="2:23">
      <c r="B84" s="106"/>
      <c r="C84" s="60"/>
      <c r="D84" s="60"/>
      <c r="E84" s="60"/>
      <c r="F84" s="60"/>
      <c r="G84" s="60"/>
      <c r="H84" s="60"/>
      <c r="I84" s="60"/>
      <c r="J84" s="60"/>
      <c r="K84" s="60"/>
      <c r="L84" s="60"/>
      <c r="M84" s="60"/>
      <c r="N84" s="60"/>
      <c r="O84" s="60"/>
      <c r="P84" s="60"/>
      <c r="Q84" s="60"/>
      <c r="R84" s="60"/>
      <c r="S84" s="60"/>
      <c r="T84" s="60"/>
      <c r="U84" s="60"/>
      <c r="V84" s="60"/>
      <c r="W84" s="60"/>
    </row>
    <row r="85" spans="2:23">
      <c r="B85" s="106"/>
      <c r="C85" s="60"/>
      <c r="D85" s="60"/>
      <c r="E85" s="60"/>
      <c r="F85" s="60"/>
      <c r="G85" s="60"/>
      <c r="H85" s="60"/>
      <c r="I85" s="60"/>
      <c r="J85" s="60"/>
      <c r="K85" s="60"/>
      <c r="L85" s="60"/>
      <c r="M85" s="60"/>
      <c r="N85" s="60"/>
      <c r="O85" s="60"/>
      <c r="P85" s="60"/>
      <c r="Q85" s="60"/>
      <c r="R85" s="60"/>
      <c r="S85" s="60"/>
      <c r="T85" s="60"/>
      <c r="U85" s="60"/>
      <c r="V85" s="60"/>
      <c r="W85" s="60"/>
    </row>
    <row r="86" spans="2:23">
      <c r="B86" s="106"/>
      <c r="C86" s="60"/>
      <c r="D86" s="60"/>
      <c r="E86" s="60"/>
      <c r="F86" s="60"/>
      <c r="G86" s="60"/>
      <c r="H86" s="60"/>
      <c r="I86" s="60"/>
      <c r="J86" s="60"/>
      <c r="K86" s="60"/>
      <c r="L86" s="60"/>
      <c r="M86" s="60"/>
      <c r="N86" s="60"/>
      <c r="O86" s="60"/>
      <c r="P86" s="60"/>
      <c r="Q86" s="60"/>
      <c r="R86" s="60"/>
      <c r="S86" s="60"/>
      <c r="T86" s="60"/>
      <c r="U86" s="60"/>
      <c r="V86" s="60"/>
      <c r="W86" s="60"/>
    </row>
    <row r="87" spans="2:23">
      <c r="B87" s="106"/>
      <c r="C87" s="60"/>
      <c r="D87" s="60"/>
      <c r="E87" s="60"/>
      <c r="F87" s="60"/>
      <c r="G87" s="60"/>
      <c r="H87" s="60"/>
      <c r="I87" s="60"/>
      <c r="J87" s="60"/>
      <c r="K87" s="60"/>
      <c r="L87" s="60"/>
      <c r="M87" s="60"/>
      <c r="N87" s="60"/>
      <c r="O87" s="60"/>
      <c r="P87" s="60"/>
      <c r="Q87" s="60"/>
      <c r="R87" s="60"/>
      <c r="S87" s="60"/>
      <c r="T87" s="60"/>
      <c r="U87" s="60"/>
      <c r="V87" s="60"/>
      <c r="W87" s="60"/>
    </row>
    <row r="88" spans="2:23">
      <c r="B88" s="106"/>
      <c r="C88" s="60"/>
      <c r="D88" s="60"/>
      <c r="E88" s="60"/>
      <c r="F88" s="60"/>
      <c r="G88" s="60"/>
      <c r="H88" s="60"/>
      <c r="I88" s="60"/>
      <c r="J88" s="60"/>
      <c r="K88" s="60"/>
      <c r="L88" s="60"/>
      <c r="M88" s="60"/>
      <c r="N88" s="60"/>
      <c r="O88" s="60"/>
      <c r="P88" s="60"/>
      <c r="Q88" s="60"/>
      <c r="R88" s="60"/>
      <c r="S88" s="60"/>
      <c r="T88" s="60"/>
      <c r="U88" s="60"/>
      <c r="V88" s="60"/>
      <c r="W88" s="60"/>
    </row>
    <row r="89" spans="2:23">
      <c r="B89" s="106"/>
      <c r="C89" s="60"/>
      <c r="D89" s="60"/>
      <c r="E89" s="60"/>
      <c r="F89" s="60"/>
      <c r="G89" s="60"/>
      <c r="H89" s="60"/>
      <c r="I89" s="60"/>
      <c r="J89" s="60"/>
      <c r="K89" s="60"/>
      <c r="L89" s="60"/>
      <c r="M89" s="60"/>
      <c r="N89" s="60"/>
      <c r="O89" s="60"/>
      <c r="P89" s="60"/>
      <c r="Q89" s="60"/>
      <c r="R89" s="60"/>
      <c r="S89" s="60"/>
      <c r="T89" s="60"/>
      <c r="U89" s="60"/>
      <c r="V89" s="60"/>
      <c r="W89" s="60"/>
    </row>
    <row r="90" spans="2:23">
      <c r="B90" s="106"/>
      <c r="C90" s="60"/>
      <c r="D90" s="60"/>
      <c r="E90" s="60"/>
      <c r="F90" s="60"/>
      <c r="G90" s="60"/>
      <c r="H90" s="60"/>
      <c r="I90" s="60"/>
      <c r="J90" s="60"/>
      <c r="K90" s="60"/>
      <c r="L90" s="60"/>
      <c r="M90" s="60"/>
      <c r="N90" s="60"/>
      <c r="O90" s="60"/>
      <c r="P90" s="60"/>
      <c r="Q90" s="60"/>
      <c r="R90" s="60"/>
      <c r="S90" s="60"/>
      <c r="T90" s="60"/>
      <c r="U90" s="60"/>
      <c r="V90" s="60"/>
      <c r="W90" s="60"/>
    </row>
    <row r="91" spans="2:23">
      <c r="B91" s="106"/>
      <c r="C91" s="60"/>
      <c r="D91" s="60"/>
      <c r="E91" s="60"/>
      <c r="F91" s="60"/>
      <c r="G91" s="60"/>
      <c r="H91" s="60"/>
      <c r="I91" s="60"/>
      <c r="J91" s="60"/>
      <c r="K91" s="60"/>
      <c r="L91" s="60"/>
      <c r="M91" s="60"/>
      <c r="N91" s="60"/>
      <c r="O91" s="60"/>
      <c r="P91" s="60"/>
      <c r="Q91" s="60"/>
      <c r="R91" s="60"/>
      <c r="S91" s="60"/>
      <c r="T91" s="60"/>
      <c r="U91" s="60"/>
      <c r="V91" s="60"/>
      <c r="W91" s="60"/>
    </row>
  </sheetData>
  <printOptions horizontalCentered="1"/>
  <pageMargins left="0.25" right="0.25" top="1" bottom="1" header="0.65" footer="0.5"/>
  <pageSetup scale="69" orientation="landscape" horizontalDpi="1200" verticalDpi="1200" r:id="rId1"/>
  <headerFooter alignWithMargins="0">
    <oddHeader xml:space="preserve">&amp;R&amp;16AEP - SPP Transco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70" zoomScaleNormal="70" zoomScaleSheetLayoutView="75" zoomScalePageLayoutView="89" workbookViewId="0">
      <selection activeCell="E14" sqref="E14"/>
    </sheetView>
  </sheetViews>
  <sheetFormatPr defaultColWidth="14.7109375" defaultRowHeight="15"/>
  <cols>
    <col min="1" max="1" width="7.28515625" style="53" customWidth="1"/>
    <col min="2" max="2" width="8.5703125" style="52" bestFit="1" customWidth="1"/>
    <col min="3" max="3" width="2" style="53" customWidth="1"/>
    <col min="4" max="4" width="78" style="53" customWidth="1"/>
    <col min="5" max="5" width="19.42578125" style="53" customWidth="1"/>
    <col min="6" max="6" width="29.7109375" style="53" customWidth="1"/>
    <col min="7" max="7" width="2.5703125" style="53" customWidth="1"/>
    <col min="8" max="8" width="19.42578125" style="53" bestFit="1" customWidth="1"/>
    <col min="9" max="9" width="2.5703125" style="53" customWidth="1"/>
    <col min="10" max="10" width="17.7109375" style="53" customWidth="1"/>
    <col min="11" max="11" width="14.140625" style="53" customWidth="1"/>
    <col min="12" max="12" width="19.7109375" style="53" customWidth="1"/>
    <col min="13" max="16384" width="14.7109375" style="53"/>
  </cols>
  <sheetData>
    <row r="1" spans="1:13">
      <c r="A1" s="51"/>
    </row>
    <row r="2" spans="1:13">
      <c r="A2" s="54"/>
      <c r="B2" s="54"/>
      <c r="C2" s="54"/>
      <c r="D2" s="54"/>
      <c r="E2" s="54"/>
      <c r="F2" s="54"/>
      <c r="G2" s="54"/>
      <c r="J2" s="54"/>
      <c r="K2" s="54"/>
      <c r="L2" s="55"/>
      <c r="M2" s="56"/>
    </row>
    <row r="3" spans="1:13">
      <c r="L3" s="55"/>
    </row>
    <row r="4" spans="1:13">
      <c r="D4" s="57"/>
      <c r="E4" s="57"/>
      <c r="F4" s="58" t="str">
        <f>+'Zonal Rates'!F4</f>
        <v xml:space="preserve">AEP West SPP Member Transmission Companies </v>
      </c>
      <c r="J4" s="57"/>
      <c r="K4" s="60"/>
    </row>
    <row r="5" spans="1:13">
      <c r="D5" s="57"/>
      <c r="E5" s="57"/>
      <c r="F5" s="110" t="str">
        <f>"Utilizing Actual / Projected Cost Data for the "&amp;'OKT TCOS'!N2&amp;" Rate Year"</f>
        <v>Utilizing Actual / Projected Cost Data for the 2022 Rate Year</v>
      </c>
      <c r="J5" s="61"/>
      <c r="K5" s="60"/>
    </row>
    <row r="6" spans="1:13">
      <c r="D6" s="57"/>
      <c r="E6" s="57"/>
      <c r="F6" s="63" t="str">
        <f>"For the "&amp;'OKT TCOS'!$N$2&amp;" Rate Year "</f>
        <v xml:space="preserve">For the 2022 Rate Year </v>
      </c>
      <c r="I6" s="60"/>
      <c r="J6" s="60"/>
      <c r="K6" s="60"/>
      <c r="L6" s="60"/>
    </row>
    <row r="7" spans="1:13">
      <c r="B7" s="64"/>
      <c r="C7" s="65"/>
      <c r="D7" s="60"/>
      <c r="E7" s="60"/>
      <c r="I7" s="60"/>
      <c r="J7" s="66"/>
      <c r="K7" s="66"/>
      <c r="L7" s="60"/>
    </row>
    <row r="8" spans="1:13" ht="15.75">
      <c r="B8" s="64"/>
      <c r="C8" s="65"/>
      <c r="D8" s="60"/>
      <c r="E8" s="60"/>
      <c r="F8" s="67" t="s">
        <v>123</v>
      </c>
      <c r="I8" s="60"/>
      <c r="J8" s="60"/>
      <c r="K8" s="60"/>
    </row>
    <row r="9" spans="1:13" ht="15.75">
      <c r="B9" s="64"/>
      <c r="C9" s="65"/>
      <c r="D9" s="60"/>
      <c r="E9" s="60"/>
      <c r="F9" s="60"/>
      <c r="G9" s="66"/>
      <c r="H9" s="70" t="s">
        <v>917</v>
      </c>
      <c r="I9" s="71"/>
      <c r="J9" s="71" t="s">
        <v>920</v>
      </c>
      <c r="K9" s="71"/>
      <c r="L9" s="70" t="s">
        <v>921</v>
      </c>
    </row>
    <row r="10" spans="1:13" ht="15.75">
      <c r="B10" s="64" t="s">
        <v>305</v>
      </c>
      <c r="C10" s="65"/>
      <c r="D10" s="60"/>
      <c r="E10" s="60"/>
      <c r="F10" s="60"/>
      <c r="G10" s="60"/>
      <c r="H10" s="70" t="s">
        <v>32</v>
      </c>
      <c r="I10" s="71"/>
      <c r="J10" s="71" t="s">
        <v>32</v>
      </c>
      <c r="K10" s="71"/>
      <c r="L10" s="71" t="s">
        <v>32</v>
      </c>
    </row>
    <row r="11" spans="1:13" ht="16.5" thickBot="1">
      <c r="B11" s="73" t="s">
        <v>254</v>
      </c>
      <c r="C11" s="74"/>
      <c r="D11" s="60"/>
      <c r="E11" s="60"/>
      <c r="F11" s="74"/>
      <c r="G11" s="60"/>
      <c r="H11" s="70" t="s">
        <v>119</v>
      </c>
      <c r="I11" s="71"/>
      <c r="J11" s="70" t="s">
        <v>119</v>
      </c>
      <c r="K11" s="71"/>
      <c r="L11" s="70" t="s">
        <v>119</v>
      </c>
    </row>
    <row r="12" spans="1:13">
      <c r="B12" s="75"/>
      <c r="C12" s="74"/>
      <c r="D12" s="60"/>
      <c r="E12" s="60"/>
      <c r="F12" s="74"/>
      <c r="G12" s="60"/>
      <c r="I12" s="60"/>
      <c r="K12" s="60"/>
    </row>
    <row r="13" spans="1:13">
      <c r="B13" s="75"/>
      <c r="C13" s="74"/>
      <c r="D13" s="60"/>
      <c r="E13" s="60"/>
      <c r="F13" s="74"/>
      <c r="G13" s="60"/>
      <c r="I13" s="60"/>
      <c r="K13" s="60"/>
    </row>
    <row r="14" spans="1:13" ht="15.75">
      <c r="A14" s="70" t="s">
        <v>120</v>
      </c>
      <c r="B14" s="76" t="str">
        <f>"Schedule 1 ARR For "&amp;'OKT TCOS'!N2&amp;" Rate Year"</f>
        <v>Schedule 1 ARR For 2022 Rate Year</v>
      </c>
      <c r="C14" s="74"/>
      <c r="D14" s="60"/>
      <c r="E14" s="60"/>
      <c r="F14" s="74"/>
      <c r="G14" s="60"/>
      <c r="I14" s="60"/>
      <c r="J14" s="60"/>
      <c r="K14" s="60"/>
    </row>
    <row r="15" spans="1:13">
      <c r="B15" s="64">
        <v>1</v>
      </c>
      <c r="C15" s="65"/>
      <c r="D15" s="77" t="str">
        <f>"Total Load Dispatch &amp; Scheduling (Account 561) (TCOS Line "&amp;'OKT TCOS'!B129&amp;")"</f>
        <v>Total Load Dispatch &amp; Scheduling (Account 561) (TCOS Line 65)</v>
      </c>
      <c r="E15" s="77"/>
      <c r="F15" s="60"/>
      <c r="G15" s="85"/>
      <c r="H15" s="84">
        <f>+J15+L15</f>
        <v>537814</v>
      </c>
      <c r="I15" s="83"/>
      <c r="J15" s="84">
        <f>+'OKT TCOS'!G129</f>
        <v>537765.73</v>
      </c>
      <c r="K15" s="82"/>
      <c r="L15" s="84">
        <f>+'SWT TCOS'!G129</f>
        <v>48.269999999999996</v>
      </c>
    </row>
    <row r="16" spans="1:13">
      <c r="B16" s="64">
        <f>+B15+1</f>
        <v>2</v>
      </c>
      <c r="C16" s="65"/>
      <c r="D16" s="77" t="s">
        <v>545</v>
      </c>
      <c r="E16" s="77"/>
      <c r="F16" s="60"/>
      <c r="G16" s="85"/>
      <c r="H16" s="84">
        <f>+J16+L16</f>
        <v>0</v>
      </c>
      <c r="I16" s="83"/>
      <c r="J16" s="111">
        <v>0</v>
      </c>
      <c r="K16"/>
      <c r="L16" s="111">
        <v>0</v>
      </c>
      <c r="M16"/>
    </row>
    <row r="17" spans="1:16">
      <c r="B17" s="64">
        <f>+B16+1</f>
        <v>3</v>
      </c>
      <c r="C17" s="65"/>
      <c r="D17" s="77" t="s">
        <v>546</v>
      </c>
      <c r="E17" s="77"/>
      <c r="F17" s="60"/>
      <c r="G17" s="85"/>
      <c r="H17" s="113">
        <f>+J17+L17</f>
        <v>0</v>
      </c>
      <c r="I17" s="83"/>
      <c r="J17" s="114">
        <v>0</v>
      </c>
      <c r="K17"/>
      <c r="L17" s="114">
        <v>0</v>
      </c>
      <c r="M17"/>
    </row>
    <row r="18" spans="1:16">
      <c r="B18" s="64">
        <f>+B17+1</f>
        <v>4</v>
      </c>
      <c r="C18" s="65"/>
      <c r="D18" s="77" t="s">
        <v>61</v>
      </c>
      <c r="E18" s="77"/>
      <c r="F18" s="65" t="str">
        <f>"(Line "&amp;B15&amp;" - Line "&amp;B16&amp;" - Line "&amp;B17&amp;")"</f>
        <v>(Line 1 - Line 2 - Line 3)</v>
      </c>
      <c r="G18" s="85"/>
      <c r="H18" s="84">
        <f>+H15-H16-H17</f>
        <v>537814</v>
      </c>
      <c r="I18" s="83"/>
      <c r="J18" s="84">
        <f>+J15-J16-J17</f>
        <v>537765.73</v>
      </c>
      <c r="K18" s="82"/>
      <c r="L18" s="84">
        <f>+L15-L16-L17</f>
        <v>48.269999999999996</v>
      </c>
      <c r="M18"/>
    </row>
    <row r="19" spans="1:16">
      <c r="B19" s="53"/>
      <c r="C19" s="65"/>
      <c r="D19" s="77"/>
      <c r="E19" s="77"/>
      <c r="F19" s="65"/>
      <c r="G19" s="85"/>
      <c r="H19" s="84"/>
      <c r="I19" s="83"/>
      <c r="J19" s="84"/>
      <c r="K19" s="82"/>
      <c r="L19" s="84"/>
      <c r="M19"/>
    </row>
    <row r="20" spans="1:16">
      <c r="B20" s="64">
        <f>+B18+1</f>
        <v>5</v>
      </c>
      <c r="C20" s="65"/>
      <c r="D20" s="115" t="s">
        <v>547</v>
      </c>
      <c r="E20" s="77"/>
      <c r="F20" s="65"/>
      <c r="G20" s="85"/>
      <c r="H20" s="78">
        <f>+J20+L20</f>
        <v>42593.389999999985</v>
      </c>
      <c r="J20" s="111">
        <v>42589.982528799985</v>
      </c>
      <c r="K20" s="112"/>
      <c r="L20" s="111">
        <v>3.407471199999998</v>
      </c>
      <c r="M20"/>
      <c r="N20"/>
      <c r="O20"/>
      <c r="P20"/>
    </row>
    <row r="21" spans="1:16" ht="15.75" thickBot="1">
      <c r="B21" s="64"/>
      <c r="C21" s="65"/>
      <c r="D21" s="77"/>
      <c r="E21" s="77"/>
      <c r="F21" s="65"/>
      <c r="G21" s="85"/>
      <c r="H21" s="84"/>
      <c r="I21" s="83"/>
      <c r="J21" s="84"/>
      <c r="K21" s="82"/>
      <c r="L21" s="84"/>
      <c r="M21"/>
      <c r="N21"/>
      <c r="O21"/>
      <c r="P21"/>
    </row>
    <row r="22" spans="1:16" ht="15.75" thickBot="1">
      <c r="A22" s="116"/>
      <c r="B22" s="64">
        <f>+B20+1</f>
        <v>6</v>
      </c>
      <c r="C22" s="65"/>
      <c r="D22" s="117" t="s">
        <v>548</v>
      </c>
      <c r="E22" s="118"/>
      <c r="F22" s="92" t="str">
        <f>"(Line "&amp;B18&amp;" - Line "&amp;B20&amp;")"</f>
        <v>(Line 4 - Line 5)</v>
      </c>
      <c r="G22" s="119"/>
      <c r="H22" s="120">
        <f>+H18-H20</f>
        <v>495220.61</v>
      </c>
      <c r="I22" s="121"/>
      <c r="J22" s="120">
        <f>+J18-J20</f>
        <v>495175.74747120001</v>
      </c>
      <c r="K22" s="122"/>
      <c r="L22" s="123">
        <f>+L18-L20</f>
        <v>44.8625288</v>
      </c>
    </row>
    <row r="23" spans="1:16">
      <c r="A23" s="116"/>
      <c r="B23" s="64"/>
      <c r="C23" s="65"/>
      <c r="D23" s="77"/>
      <c r="E23" s="77"/>
      <c r="F23" s="85"/>
      <c r="H23" s="90"/>
      <c r="J23" s="87">
        <f>J22/H22</f>
        <v>0.99990940900298964</v>
      </c>
      <c r="L23" s="87">
        <f>1-J23</f>
        <v>9.059099701036466E-5</v>
      </c>
    </row>
    <row r="24" spans="1:16">
      <c r="B24" s="64"/>
      <c r="C24" s="65"/>
      <c r="D24" s="77"/>
      <c r="E24" s="77"/>
      <c r="F24" s="85"/>
      <c r="H24" s="90"/>
      <c r="J24" s="90"/>
      <c r="K24" s="78"/>
      <c r="L24" s="90"/>
    </row>
    <row r="25" spans="1:16" ht="15.75">
      <c r="A25" s="70" t="s">
        <v>121</v>
      </c>
      <c r="B25" s="76" t="str">
        <f>"Schedule 1 "&amp;'OKT TCOS'!N2&amp;" Rate Year Calculations"</f>
        <v>Schedule 1 2022 Rate Year Calculations</v>
      </c>
      <c r="C25" s="74"/>
      <c r="D25" s="60"/>
      <c r="E25" s="60"/>
      <c r="F25" s="74"/>
      <c r="G25" s="60"/>
      <c r="I25" s="60"/>
      <c r="J25" s="78"/>
      <c r="K25" s="78"/>
      <c r="L25" s="78"/>
    </row>
    <row r="26" spans="1:16">
      <c r="A26" s="116"/>
      <c r="B26" s="64">
        <f>+B22+1</f>
        <v>7</v>
      </c>
      <c r="C26" s="65"/>
      <c r="D26" s="77" t="s">
        <v>549</v>
      </c>
      <c r="E26" s="77"/>
      <c r="F26" s="100" t="str">
        <f>"(Load WS, ln "&amp;'Load WS'!A33&amp;")"</f>
        <v>(Load WS, ln 20)</v>
      </c>
      <c r="G26" s="85"/>
      <c r="H26" s="78">
        <f>+'Load WS'!S33</f>
        <v>8723</v>
      </c>
      <c r="I26" s="60" t="s">
        <v>122</v>
      </c>
      <c r="J26" s="78">
        <f>+H26</f>
        <v>8723</v>
      </c>
      <c r="K26" s="60" t="s">
        <v>122</v>
      </c>
      <c r="L26" s="78">
        <f>+H26</f>
        <v>8723</v>
      </c>
      <c r="M26" s="60" t="s">
        <v>122</v>
      </c>
    </row>
    <row r="27" spans="1:16">
      <c r="A27" s="116"/>
      <c r="B27" s="64"/>
      <c r="C27" s="65"/>
      <c r="D27" s="77"/>
      <c r="E27" s="77"/>
      <c r="F27" s="124"/>
      <c r="G27" s="85"/>
      <c r="H27" s="125"/>
      <c r="I27" s="60"/>
      <c r="J27" s="125"/>
      <c r="K27" s="60"/>
      <c r="L27" s="125"/>
      <c r="M27" s="60"/>
    </row>
    <row r="28" spans="1:16">
      <c r="A28" s="116"/>
      <c r="B28" s="64">
        <f>+B26+1</f>
        <v>8</v>
      </c>
      <c r="C28" s="126"/>
      <c r="D28" s="77" t="str">
        <f>"Annual Point-to-Point Rate in $/MW - Year"</f>
        <v>Annual Point-to-Point Rate in $/MW - Year</v>
      </c>
      <c r="E28" s="127"/>
      <c r="F28" s="126" t="str">
        <f>"(Line "&amp;B22&amp;" / Line "&amp;B26&amp;")"</f>
        <v>(Line 6 / Line 7)</v>
      </c>
      <c r="G28" s="126"/>
      <c r="H28" s="53">
        <f>+H22/H26</f>
        <v>56.771822767396536</v>
      </c>
      <c r="I28" s="126"/>
      <c r="J28" s="53">
        <f>+J22/J26</f>
        <v>56.766679751369942</v>
      </c>
      <c r="K28" s="126"/>
      <c r="L28" s="53">
        <f>+L22/L26</f>
        <v>5.1430160265963547E-3</v>
      </c>
      <c r="M28" s="126"/>
    </row>
    <row r="29" spans="1:16">
      <c r="A29" s="116"/>
      <c r="B29" s="64">
        <f>+B28+1</f>
        <v>9</v>
      </c>
      <c r="C29" s="126"/>
      <c r="D29" s="77" t="str">
        <f>"Monthly Point-to-Point Rate (ln "&amp;B28&amp;" / 12)  $/MW - Month"</f>
        <v>Monthly Point-to-Point Rate (ln 8 / 12)  $/MW - Month</v>
      </c>
      <c r="E29" s="127"/>
      <c r="F29" s="126" t="str">
        <f>"(Line "&amp;B28&amp;" / 12)"</f>
        <v>(Line 8 / 12)</v>
      </c>
      <c r="G29" s="126"/>
      <c r="H29" s="53">
        <f>+H28/12</f>
        <v>4.730985230616378</v>
      </c>
      <c r="I29" s="126"/>
      <c r="J29" s="408">
        <f>+J28/12</f>
        <v>4.7305566459474955</v>
      </c>
      <c r="K29" s="126"/>
      <c r="L29" s="53">
        <f>+L28/12</f>
        <v>4.2858466888302956E-4</v>
      </c>
      <c r="M29" s="126"/>
    </row>
    <row r="30" spans="1:16">
      <c r="A30" s="116"/>
      <c r="B30" s="64">
        <f>+B29+1</f>
        <v>10</v>
      </c>
      <c r="C30" s="126"/>
      <c r="D30" s="77" t="str">
        <f>"Weekly Point-to-Point Rate (ln "&amp;B28&amp;" / 52)  $/MW - Weekly"</f>
        <v>Weekly Point-to-Point Rate (ln 8 / 52)  $/MW - Weekly</v>
      </c>
      <c r="E30" s="127"/>
      <c r="F30" s="126" t="str">
        <f>"(Line "&amp;B28&amp;" / 52)"</f>
        <v>(Line 8 / 52)</v>
      </c>
      <c r="G30" s="126"/>
      <c r="H30" s="53">
        <f>+H28/52</f>
        <v>1.0917658224499334</v>
      </c>
      <c r="I30" s="126"/>
      <c r="J30" s="53">
        <f>+J28/52</f>
        <v>1.0916669182955758</v>
      </c>
      <c r="K30" s="126"/>
      <c r="L30" s="53">
        <f>+L28/52</f>
        <v>9.8904154357622211E-5</v>
      </c>
      <c r="M30" s="126"/>
    </row>
    <row r="31" spans="1:16">
      <c r="A31" s="116"/>
      <c r="B31" s="64">
        <f>+B30+1</f>
        <v>11</v>
      </c>
      <c r="C31" s="126"/>
      <c r="D31" s="77" t="str">
        <f>"Daily Off-Peak Point-to-Point Rate (ln "&amp;B28&amp;" / 365)  $/MW - Day"</f>
        <v>Daily Off-Peak Point-to-Point Rate (ln 8 / 365)  $/MW - Day</v>
      </c>
      <c r="E31" s="127"/>
      <c r="F31" s="126" t="str">
        <f>"(Line "&amp;B28&amp;" / 365)"</f>
        <v>(Line 8 / 365)</v>
      </c>
      <c r="G31" s="126"/>
      <c r="H31" s="53">
        <f>+H28/365</f>
        <v>0.15553924045862064</v>
      </c>
      <c r="I31" s="126"/>
      <c r="J31" s="53">
        <f>+J28/365</f>
        <v>0.15552515000375328</v>
      </c>
      <c r="K31" s="126"/>
      <c r="L31" s="53">
        <f>+L28/365</f>
        <v>1.4090454867387274E-5</v>
      </c>
      <c r="M31" s="126"/>
    </row>
    <row r="32" spans="1:16">
      <c r="A32" s="116"/>
      <c r="B32" s="64">
        <f>+B31+1</f>
        <v>12</v>
      </c>
      <c r="C32" s="126"/>
      <c r="D32" s="77" t="str">
        <f>"Hourly Off-Peak Point-to-Point Rate (ln "&amp;B28&amp;" / 8760)  $/MW - Hour"</f>
        <v>Hourly Off-Peak Point-to-Point Rate (ln 8 / 8760)  $/MW - Hour</v>
      </c>
      <c r="E32" s="127"/>
      <c r="F32" s="126" t="str">
        <f>"(Line "&amp;B28&amp;" / 8760)"</f>
        <v>(Line 8 / 8760)</v>
      </c>
      <c r="G32" s="126"/>
      <c r="H32" s="53">
        <f>+H28/8760</f>
        <v>6.4808016857758602E-3</v>
      </c>
      <c r="I32" s="126"/>
      <c r="J32" s="53">
        <f>+J28/8760</f>
        <v>6.4802145834897198E-3</v>
      </c>
      <c r="K32" s="126"/>
      <c r="L32" s="53">
        <f>+L28/8760</f>
        <v>5.8710228614113643E-7</v>
      </c>
      <c r="M32" s="126"/>
    </row>
    <row r="33" spans="2:23">
      <c r="B33" s="64"/>
      <c r="C33" s="65"/>
      <c r="D33" s="77"/>
      <c r="E33" s="77"/>
      <c r="F33" s="85"/>
      <c r="H33" s="78"/>
      <c r="J33" s="78"/>
      <c r="K33" s="78"/>
      <c r="L33" s="78"/>
    </row>
    <row r="34" spans="2:23">
      <c r="B34" s="64"/>
      <c r="C34" s="126"/>
      <c r="D34" s="77"/>
      <c r="E34" s="77"/>
      <c r="F34" s="126"/>
      <c r="G34" s="126"/>
      <c r="I34" s="126"/>
      <c r="J34" s="79"/>
      <c r="L34" s="79"/>
      <c r="M34" s="60"/>
      <c r="N34" s="60"/>
      <c r="O34" s="60"/>
      <c r="P34" s="60"/>
      <c r="Q34" s="60"/>
      <c r="R34" s="60"/>
      <c r="S34" s="60"/>
      <c r="T34" s="60"/>
      <c r="U34" s="60"/>
      <c r="V34" s="60"/>
      <c r="W34" s="60"/>
    </row>
    <row r="35" spans="2:23">
      <c r="B35" s="64"/>
      <c r="C35" s="126"/>
      <c r="D35" s="77"/>
      <c r="E35" s="77"/>
      <c r="F35" s="126"/>
      <c r="G35" s="126"/>
      <c r="I35" s="126"/>
      <c r="J35" s="79"/>
      <c r="L35" s="79"/>
      <c r="M35" s="60"/>
      <c r="N35" s="60"/>
      <c r="O35" s="60"/>
      <c r="P35" s="60"/>
      <c r="Q35" s="60"/>
      <c r="R35" s="60"/>
      <c r="S35" s="60"/>
      <c r="T35" s="60"/>
      <c r="U35" s="60"/>
      <c r="V35" s="60"/>
      <c r="W35" s="60"/>
    </row>
    <row r="36" spans="2:23">
      <c r="B36" s="129"/>
      <c r="C36" s="126"/>
      <c r="D36" s="126"/>
      <c r="E36" s="126"/>
      <c r="F36" s="126"/>
      <c r="G36" s="126"/>
      <c r="H36" s="60"/>
      <c r="I36" s="126"/>
      <c r="J36" s="126"/>
      <c r="K36" s="126"/>
      <c r="L36" s="126"/>
      <c r="M36" s="60"/>
      <c r="N36" s="60"/>
      <c r="O36" s="60"/>
      <c r="P36" s="60"/>
      <c r="Q36" s="60"/>
      <c r="R36" s="60"/>
      <c r="S36" s="60"/>
      <c r="T36" s="60"/>
      <c r="U36" s="60"/>
      <c r="V36" s="60"/>
      <c r="W36" s="60"/>
    </row>
    <row r="37" spans="2:23">
      <c r="B37" s="129"/>
      <c r="C37" s="126"/>
      <c r="D37" s="126"/>
      <c r="E37" s="126"/>
      <c r="F37" s="126"/>
      <c r="G37" s="126"/>
      <c r="H37" s="60"/>
      <c r="I37" s="126"/>
      <c r="J37" s="126"/>
      <c r="K37" s="126"/>
      <c r="L37" s="126"/>
      <c r="M37" s="60"/>
      <c r="N37" s="60"/>
      <c r="O37" s="60"/>
      <c r="P37" s="60"/>
      <c r="Q37" s="60"/>
      <c r="R37" s="60"/>
      <c r="S37" s="60"/>
      <c r="T37" s="60"/>
      <c r="U37" s="60"/>
      <c r="V37" s="60"/>
      <c r="W37" s="60"/>
    </row>
    <row r="38" spans="2:23">
      <c r="B38" s="129"/>
      <c r="C38" s="126"/>
      <c r="D38" s="126"/>
      <c r="E38" s="126"/>
      <c r="F38" s="126"/>
      <c r="G38" s="126"/>
      <c r="H38" s="60"/>
      <c r="I38" s="126"/>
      <c r="J38" s="126"/>
      <c r="K38" s="126"/>
      <c r="L38" s="126"/>
      <c r="M38" s="60"/>
      <c r="N38" s="60"/>
      <c r="O38" s="60"/>
      <c r="P38" s="60"/>
      <c r="Q38" s="60"/>
      <c r="R38" s="60"/>
      <c r="S38" s="60"/>
      <c r="T38" s="60"/>
      <c r="U38" s="60"/>
      <c r="V38" s="60"/>
      <c r="W38" s="60"/>
    </row>
    <row r="39" spans="2:23">
      <c r="B39" s="106"/>
      <c r="C39" s="60"/>
      <c r="D39" s="54"/>
      <c r="E39" s="54"/>
      <c r="F39" s="54"/>
      <c r="G39" s="54"/>
      <c r="H39" s="54" t="s">
        <v>251</v>
      </c>
      <c r="J39" s="54"/>
      <c r="K39" s="54"/>
      <c r="L39" s="54"/>
      <c r="M39" s="54"/>
      <c r="N39" s="54"/>
      <c r="O39" s="54"/>
      <c r="P39" s="54"/>
      <c r="Q39" s="54"/>
      <c r="R39" s="54"/>
      <c r="S39" s="54"/>
      <c r="T39" s="60"/>
      <c r="U39" s="60"/>
      <c r="V39" s="60"/>
      <c r="W39" s="60"/>
    </row>
    <row r="40" spans="2:23">
      <c r="B40" s="106"/>
      <c r="C40" s="60"/>
      <c r="D40" s="54"/>
      <c r="E40" s="54"/>
      <c r="F40" s="54"/>
      <c r="G40" s="54"/>
      <c r="H40" s="54"/>
      <c r="I40" s="54"/>
      <c r="J40" s="54"/>
      <c r="K40" s="54"/>
      <c r="L40" s="54"/>
      <c r="M40" s="54"/>
      <c r="N40" s="54"/>
      <c r="O40" s="54"/>
      <c r="P40" s="54"/>
      <c r="Q40" s="54"/>
      <c r="R40" s="54"/>
      <c r="S40" s="54"/>
      <c r="T40" s="60"/>
      <c r="U40" s="60"/>
      <c r="V40" s="60"/>
      <c r="W40" s="60"/>
    </row>
    <row r="41" spans="2:23">
      <c r="B41" s="106"/>
      <c r="C41" s="60"/>
      <c r="D41" s="54"/>
      <c r="E41" s="54"/>
      <c r="F41" s="54"/>
      <c r="G41" s="54"/>
      <c r="H41" s="54"/>
      <c r="I41" s="54"/>
      <c r="J41" s="54"/>
      <c r="K41" s="54"/>
      <c r="L41" s="54"/>
      <c r="M41" s="54"/>
      <c r="N41" s="54"/>
      <c r="O41" s="54"/>
      <c r="P41" s="54"/>
      <c r="Q41" s="54"/>
      <c r="R41" s="54"/>
      <c r="S41" s="54"/>
      <c r="T41" s="60"/>
      <c r="U41" s="60"/>
      <c r="V41" s="60"/>
      <c r="W41" s="60"/>
    </row>
    <row r="42" spans="2:23">
      <c r="B42" s="106"/>
      <c r="C42" s="60"/>
      <c r="D42" s="54"/>
      <c r="E42" s="54"/>
      <c r="F42" s="54"/>
      <c r="G42" s="54"/>
      <c r="H42" s="54"/>
      <c r="I42" s="54"/>
      <c r="J42" s="54"/>
      <c r="K42" s="54"/>
      <c r="L42" s="54"/>
      <c r="M42" s="54"/>
      <c r="N42" s="54"/>
      <c r="O42" s="54"/>
      <c r="P42" s="54"/>
      <c r="Q42" s="54"/>
      <c r="R42" s="54"/>
      <c r="S42" s="54"/>
      <c r="T42" s="60"/>
      <c r="U42" s="60"/>
      <c r="V42" s="60"/>
      <c r="W42" s="60"/>
    </row>
    <row r="43" spans="2:23">
      <c r="B43" s="106"/>
      <c r="C43" s="60"/>
      <c r="D43" s="54"/>
      <c r="E43" s="54"/>
      <c r="F43" s="54"/>
      <c r="G43" s="54"/>
      <c r="H43" s="54"/>
      <c r="I43" s="54"/>
      <c r="J43" s="54"/>
      <c r="K43" s="54"/>
      <c r="L43" s="54"/>
      <c r="M43" s="54"/>
      <c r="N43" s="54"/>
      <c r="O43" s="54"/>
      <c r="P43" s="54"/>
      <c r="Q43" s="54"/>
      <c r="R43" s="54"/>
      <c r="S43" s="54"/>
      <c r="T43" s="60"/>
      <c r="U43" s="60"/>
      <c r="V43" s="60"/>
      <c r="W43" s="60"/>
    </row>
    <row r="44" spans="2:23">
      <c r="B44" s="106"/>
      <c r="C44" s="60"/>
      <c r="D44" s="54"/>
      <c r="E44" s="54"/>
      <c r="F44" s="54"/>
      <c r="G44" s="54"/>
      <c r="H44" s="54"/>
      <c r="I44" s="54"/>
      <c r="J44" s="54"/>
      <c r="K44" s="54"/>
      <c r="L44" s="54"/>
      <c r="M44" s="54"/>
      <c r="N44" s="54"/>
      <c r="O44" s="54"/>
      <c r="P44" s="54"/>
      <c r="Q44" s="54"/>
      <c r="R44" s="54"/>
      <c r="S44" s="54"/>
      <c r="T44" s="60"/>
      <c r="U44" s="60"/>
      <c r="V44" s="60"/>
      <c r="W44" s="60"/>
    </row>
    <row r="45" spans="2:23">
      <c r="B45" s="106"/>
      <c r="C45" s="60"/>
      <c r="D45" s="54"/>
      <c r="E45" s="54"/>
      <c r="F45" s="54"/>
      <c r="G45" s="54"/>
      <c r="H45" s="54"/>
      <c r="I45" s="54"/>
      <c r="J45" s="54"/>
      <c r="K45" s="54"/>
      <c r="L45" s="54"/>
      <c r="M45" s="54"/>
      <c r="N45" s="54"/>
      <c r="O45" s="54"/>
      <c r="P45" s="54"/>
      <c r="Q45" s="54"/>
      <c r="R45" s="54"/>
      <c r="S45" s="54"/>
      <c r="T45" s="60"/>
      <c r="U45" s="60"/>
      <c r="V45" s="60"/>
      <c r="W45" s="60"/>
    </row>
    <row r="46" spans="2:23">
      <c r="B46" s="106"/>
      <c r="C46" s="60"/>
      <c r="D46" s="54"/>
      <c r="E46" s="54"/>
      <c r="F46" s="54"/>
      <c r="G46" s="54"/>
      <c r="H46" s="54"/>
      <c r="I46" s="54"/>
      <c r="J46" s="54"/>
      <c r="K46" s="54"/>
      <c r="L46" s="54"/>
      <c r="M46" s="54"/>
      <c r="N46" s="54"/>
      <c r="O46" s="54"/>
      <c r="P46" s="54"/>
      <c r="Q46" s="54"/>
      <c r="R46" s="54"/>
      <c r="S46" s="54"/>
      <c r="T46" s="60"/>
      <c r="U46" s="60"/>
      <c r="V46" s="60"/>
      <c r="W46" s="60"/>
    </row>
    <row r="47" spans="2:23">
      <c r="B47" s="106"/>
      <c r="C47" s="60"/>
      <c r="D47" s="54"/>
      <c r="E47" s="54"/>
      <c r="F47" s="54"/>
      <c r="G47" s="54"/>
      <c r="H47" s="54"/>
      <c r="I47" s="54"/>
      <c r="J47" s="54"/>
      <c r="K47" s="54"/>
      <c r="L47" s="54"/>
      <c r="M47" s="54"/>
      <c r="N47" s="54"/>
      <c r="O47" s="54"/>
      <c r="P47" s="54"/>
      <c r="Q47" s="54"/>
      <c r="R47" s="54"/>
      <c r="S47" s="54"/>
      <c r="T47" s="60"/>
      <c r="U47" s="60"/>
      <c r="V47" s="60"/>
      <c r="W47" s="60"/>
    </row>
    <row r="48" spans="2:23">
      <c r="B48" s="106"/>
      <c r="C48" s="60"/>
      <c r="D48" s="54"/>
      <c r="E48" s="54"/>
      <c r="F48" s="54"/>
      <c r="G48" s="54"/>
      <c r="H48" s="54"/>
      <c r="I48" s="54"/>
      <c r="J48" s="54"/>
      <c r="K48" s="54"/>
      <c r="L48" s="54"/>
      <c r="M48" s="54"/>
      <c r="N48" s="54"/>
      <c r="O48" s="54"/>
      <c r="P48" s="54"/>
      <c r="Q48" s="54"/>
      <c r="R48" s="54"/>
      <c r="S48" s="54"/>
      <c r="T48" s="60"/>
      <c r="U48" s="60"/>
      <c r="V48" s="60"/>
      <c r="W48" s="60"/>
    </row>
    <row r="49" spans="2:23">
      <c r="B49" s="106"/>
      <c r="C49" s="60"/>
      <c r="D49" s="54"/>
      <c r="E49" s="54"/>
      <c r="F49" s="54"/>
      <c r="G49" s="54"/>
      <c r="H49" s="54"/>
      <c r="I49" s="54"/>
      <c r="J49" s="54"/>
      <c r="K49" s="54"/>
      <c r="L49" s="54"/>
      <c r="M49" s="54"/>
      <c r="N49" s="54"/>
      <c r="O49" s="54"/>
      <c r="P49" s="54"/>
      <c r="Q49" s="54"/>
      <c r="R49" s="54"/>
      <c r="S49" s="54"/>
      <c r="T49" s="60"/>
      <c r="U49" s="60"/>
      <c r="V49" s="60"/>
      <c r="W49" s="60"/>
    </row>
    <row r="50" spans="2:23">
      <c r="B50" s="106"/>
      <c r="C50" s="60"/>
      <c r="D50" s="54"/>
      <c r="E50" s="54"/>
      <c r="F50" s="54"/>
      <c r="G50" s="54"/>
      <c r="H50" s="54"/>
      <c r="I50" s="54"/>
      <c r="J50" s="54"/>
      <c r="K50" s="54"/>
      <c r="L50" s="54"/>
      <c r="M50" s="54"/>
      <c r="N50" s="54"/>
      <c r="O50" s="54"/>
      <c r="P50" s="54"/>
      <c r="Q50" s="54"/>
      <c r="R50" s="54"/>
      <c r="S50" s="54"/>
      <c r="T50" s="60"/>
      <c r="U50" s="60"/>
      <c r="V50" s="60"/>
      <c r="W50" s="60"/>
    </row>
    <row r="51" spans="2:23">
      <c r="B51" s="106"/>
      <c r="C51" s="60"/>
      <c r="D51" s="54"/>
      <c r="E51" s="54"/>
      <c r="F51" s="54"/>
      <c r="G51" s="54"/>
      <c r="H51" s="54"/>
      <c r="I51" s="54"/>
      <c r="J51" s="54"/>
      <c r="K51" s="54"/>
      <c r="L51" s="54"/>
      <c r="M51" s="54"/>
      <c r="N51" s="54"/>
      <c r="O51" s="54"/>
      <c r="P51" s="54"/>
      <c r="Q51" s="54"/>
      <c r="R51" s="54"/>
      <c r="S51" s="54"/>
      <c r="T51" s="60"/>
      <c r="U51" s="60"/>
      <c r="V51" s="60"/>
      <c r="W51" s="60"/>
    </row>
    <row r="52" spans="2:23">
      <c r="B52" s="106"/>
      <c r="C52" s="60"/>
      <c r="D52" s="54"/>
      <c r="E52" s="54"/>
      <c r="F52" s="54"/>
      <c r="G52" s="54"/>
      <c r="H52" s="54"/>
      <c r="I52" s="54"/>
      <c r="J52" s="54"/>
      <c r="K52" s="54"/>
      <c r="L52" s="54"/>
      <c r="M52" s="54"/>
      <c r="N52" s="54"/>
      <c r="O52" s="54"/>
      <c r="P52" s="54"/>
      <c r="Q52" s="54"/>
      <c r="R52" s="54"/>
      <c r="S52" s="54"/>
      <c r="T52" s="60"/>
      <c r="U52" s="60"/>
      <c r="V52" s="60"/>
      <c r="W52" s="60"/>
    </row>
    <row r="53" spans="2:23">
      <c r="B53" s="106"/>
      <c r="C53" s="60"/>
      <c r="D53" s="54"/>
      <c r="E53" s="54"/>
      <c r="F53" s="54"/>
      <c r="G53" s="54"/>
      <c r="H53" s="54"/>
      <c r="I53" s="54"/>
      <c r="J53" s="54"/>
      <c r="K53" s="54"/>
      <c r="L53" s="54"/>
      <c r="M53" s="54"/>
      <c r="N53" s="54"/>
      <c r="O53" s="54"/>
      <c r="P53" s="54"/>
      <c r="Q53" s="54"/>
      <c r="R53" s="54"/>
      <c r="S53" s="54"/>
      <c r="T53" s="60"/>
      <c r="U53" s="60"/>
      <c r="V53" s="60"/>
      <c r="W53" s="60"/>
    </row>
    <row r="54" spans="2:23">
      <c r="B54" s="106"/>
      <c r="C54" s="60"/>
      <c r="D54" s="54"/>
      <c r="E54" s="54"/>
      <c r="F54" s="54"/>
      <c r="G54" s="54"/>
      <c r="H54" s="54"/>
      <c r="I54" s="54"/>
      <c r="J54" s="54"/>
      <c r="K54" s="54"/>
      <c r="L54" s="54"/>
      <c r="M54" s="54"/>
      <c r="N54" s="54"/>
      <c r="O54" s="54"/>
      <c r="P54" s="54"/>
      <c r="Q54" s="54"/>
      <c r="R54" s="54"/>
      <c r="S54" s="54"/>
      <c r="T54" s="60"/>
      <c r="U54" s="60"/>
      <c r="V54" s="60"/>
      <c r="W54" s="60"/>
    </row>
    <row r="55" spans="2:23">
      <c r="B55" s="106"/>
      <c r="C55" s="60"/>
      <c r="D55" s="54"/>
      <c r="E55" s="54"/>
      <c r="F55" s="54"/>
      <c r="G55" s="54"/>
      <c r="H55" s="54"/>
      <c r="I55" s="54"/>
      <c r="J55" s="54"/>
      <c r="K55" s="54"/>
      <c r="L55" s="54"/>
      <c r="M55" s="54"/>
      <c r="N55" s="54"/>
      <c r="O55" s="54"/>
      <c r="P55" s="54"/>
      <c r="Q55" s="54"/>
      <c r="R55" s="54"/>
      <c r="S55" s="54"/>
      <c r="T55" s="60"/>
      <c r="U55" s="60"/>
      <c r="V55" s="60"/>
      <c r="W55" s="60"/>
    </row>
    <row r="56" spans="2:23">
      <c r="B56" s="106"/>
      <c r="C56" s="60"/>
      <c r="D56" s="60"/>
      <c r="E56" s="60"/>
      <c r="F56" s="60"/>
      <c r="G56" s="60"/>
      <c r="H56" s="60"/>
      <c r="I56" s="60"/>
      <c r="J56" s="60"/>
      <c r="K56" s="60"/>
      <c r="L56" s="60"/>
      <c r="M56" s="60"/>
      <c r="N56" s="60"/>
      <c r="O56" s="60"/>
      <c r="P56" s="60"/>
      <c r="Q56" s="60"/>
      <c r="R56" s="60"/>
      <c r="S56" s="60"/>
      <c r="T56" s="60"/>
      <c r="U56" s="60"/>
      <c r="V56" s="60"/>
      <c r="W56" s="60"/>
    </row>
    <row r="57" spans="2:23">
      <c r="B57" s="106"/>
      <c r="C57" s="60"/>
      <c r="D57" s="60"/>
      <c r="E57" s="60"/>
      <c r="F57" s="60"/>
      <c r="G57" s="60"/>
      <c r="H57" s="60"/>
      <c r="I57" s="60"/>
      <c r="J57" s="60"/>
      <c r="K57" s="60"/>
      <c r="L57" s="60"/>
      <c r="M57" s="60"/>
      <c r="N57" s="60"/>
      <c r="O57" s="60"/>
      <c r="P57" s="60"/>
      <c r="Q57" s="60"/>
      <c r="R57" s="60"/>
      <c r="S57" s="60"/>
      <c r="T57" s="60"/>
      <c r="U57" s="60"/>
      <c r="V57" s="60"/>
      <c r="W57" s="60"/>
    </row>
    <row r="58" spans="2:23">
      <c r="B58" s="106"/>
      <c r="C58" s="60"/>
      <c r="D58" s="60"/>
      <c r="E58" s="60"/>
      <c r="F58" s="60"/>
      <c r="G58" s="60"/>
      <c r="H58" s="60"/>
      <c r="I58" s="60"/>
      <c r="J58" s="60"/>
      <c r="K58" s="60"/>
      <c r="L58" s="60"/>
      <c r="M58" s="60"/>
      <c r="N58" s="60"/>
      <c r="O58" s="60"/>
      <c r="P58" s="60"/>
      <c r="Q58" s="60"/>
      <c r="R58" s="60"/>
      <c r="S58" s="60"/>
      <c r="T58" s="60"/>
      <c r="U58" s="60"/>
      <c r="V58" s="60"/>
      <c r="W58" s="60"/>
    </row>
    <row r="59" spans="2:23">
      <c r="B59" s="106"/>
      <c r="C59" s="60"/>
      <c r="D59" s="60"/>
      <c r="E59" s="60"/>
      <c r="F59" s="60"/>
      <c r="G59" s="60"/>
      <c r="H59" s="60"/>
      <c r="I59" s="60"/>
      <c r="J59" s="60"/>
      <c r="K59" s="60"/>
      <c r="L59" s="60"/>
      <c r="M59" s="60"/>
      <c r="N59" s="60"/>
      <c r="O59" s="60"/>
      <c r="P59" s="60"/>
      <c r="Q59" s="60"/>
      <c r="R59" s="60"/>
      <c r="S59" s="60"/>
      <c r="T59" s="60"/>
      <c r="U59" s="60"/>
      <c r="V59" s="60"/>
      <c r="W59" s="60"/>
    </row>
    <row r="60" spans="2:23">
      <c r="B60" s="106"/>
      <c r="C60" s="60"/>
      <c r="D60" s="60"/>
      <c r="E60" s="60"/>
      <c r="F60" s="60"/>
      <c r="G60" s="60"/>
      <c r="H60" s="60"/>
      <c r="I60" s="60"/>
      <c r="J60" s="60"/>
      <c r="K60" s="60"/>
      <c r="L60" s="60"/>
      <c r="M60" s="60"/>
      <c r="N60" s="60"/>
      <c r="O60" s="60"/>
      <c r="P60" s="60"/>
      <c r="Q60" s="60"/>
      <c r="R60" s="60"/>
      <c r="S60" s="60"/>
      <c r="T60" s="60"/>
      <c r="U60" s="60"/>
      <c r="V60" s="60"/>
      <c r="W60" s="60"/>
    </row>
    <row r="61" spans="2:23">
      <c r="B61" s="106"/>
      <c r="C61" s="60"/>
      <c r="D61" s="60"/>
      <c r="E61" s="60"/>
      <c r="F61" s="60"/>
      <c r="G61" s="60"/>
      <c r="H61" s="60"/>
      <c r="I61" s="60"/>
      <c r="J61" s="60"/>
      <c r="K61" s="60"/>
      <c r="L61" s="60"/>
      <c r="M61" s="60"/>
      <c r="N61" s="60"/>
      <c r="O61" s="60"/>
      <c r="P61" s="60"/>
      <c r="Q61" s="60"/>
      <c r="R61" s="60"/>
      <c r="S61" s="60"/>
      <c r="T61" s="60"/>
      <c r="U61" s="60"/>
      <c r="V61" s="60"/>
      <c r="W61" s="60"/>
    </row>
    <row r="62" spans="2:23">
      <c r="B62" s="106"/>
      <c r="C62" s="60"/>
      <c r="D62" s="60"/>
      <c r="E62" s="60"/>
      <c r="F62" s="60"/>
      <c r="G62" s="60"/>
      <c r="H62" s="60"/>
      <c r="I62" s="60"/>
      <c r="J62" s="60"/>
      <c r="K62" s="60"/>
      <c r="L62" s="60"/>
      <c r="M62" s="60"/>
      <c r="N62" s="60"/>
      <c r="O62" s="60"/>
      <c r="P62" s="60"/>
      <c r="Q62" s="60"/>
      <c r="R62" s="60"/>
      <c r="S62" s="60"/>
      <c r="T62" s="60"/>
      <c r="U62" s="60"/>
      <c r="V62" s="60"/>
      <c r="W62" s="60"/>
    </row>
    <row r="63" spans="2:23">
      <c r="B63" s="106"/>
      <c r="C63" s="60"/>
      <c r="D63" s="60"/>
      <c r="E63" s="60"/>
      <c r="F63" s="60"/>
      <c r="G63" s="60"/>
      <c r="H63" s="60"/>
      <c r="I63" s="60"/>
      <c r="J63" s="60"/>
      <c r="K63" s="60"/>
      <c r="L63" s="60"/>
      <c r="M63" s="60"/>
      <c r="N63" s="60"/>
      <c r="O63" s="60"/>
      <c r="P63" s="60"/>
      <c r="Q63" s="60"/>
      <c r="R63" s="60"/>
      <c r="S63" s="60"/>
      <c r="T63" s="60"/>
      <c r="U63" s="60"/>
      <c r="V63" s="60"/>
      <c r="W63" s="60"/>
    </row>
    <row r="64" spans="2:23">
      <c r="B64" s="106"/>
      <c r="C64" s="60"/>
      <c r="D64" s="60"/>
      <c r="E64" s="60"/>
      <c r="F64" s="60"/>
      <c r="G64" s="60"/>
      <c r="H64" s="60"/>
      <c r="I64" s="60"/>
      <c r="J64" s="60"/>
      <c r="K64" s="60"/>
      <c r="L64" s="60"/>
      <c r="M64" s="60"/>
      <c r="N64" s="60"/>
      <c r="O64" s="60"/>
      <c r="P64" s="60"/>
      <c r="Q64" s="60"/>
      <c r="R64" s="60"/>
      <c r="S64" s="60"/>
      <c r="T64" s="60"/>
      <c r="U64" s="60"/>
      <c r="V64" s="60"/>
      <c r="W64" s="60"/>
    </row>
    <row r="65" spans="2:23">
      <c r="B65" s="106"/>
      <c r="C65" s="60"/>
      <c r="D65" s="60"/>
      <c r="E65" s="60"/>
      <c r="F65" s="60"/>
      <c r="G65" s="60"/>
      <c r="H65" s="60"/>
      <c r="I65" s="60"/>
      <c r="J65" s="60"/>
      <c r="K65" s="60"/>
      <c r="L65" s="60"/>
      <c r="M65" s="60"/>
      <c r="N65" s="60"/>
      <c r="O65" s="60"/>
      <c r="P65" s="60"/>
      <c r="Q65" s="60"/>
      <c r="R65" s="60"/>
      <c r="S65" s="60"/>
      <c r="T65" s="60"/>
      <c r="U65" s="60"/>
      <c r="V65" s="60"/>
      <c r="W65" s="60"/>
    </row>
    <row r="66" spans="2:23">
      <c r="B66" s="106"/>
      <c r="C66" s="60"/>
      <c r="D66" s="60"/>
      <c r="E66" s="60"/>
      <c r="F66" s="60"/>
      <c r="G66" s="60"/>
      <c r="H66" s="60"/>
      <c r="I66" s="60"/>
      <c r="J66" s="60"/>
      <c r="K66" s="60"/>
      <c r="L66" s="60"/>
      <c r="M66" s="60"/>
      <c r="N66" s="60"/>
      <c r="O66" s="60"/>
      <c r="P66" s="60"/>
      <c r="Q66" s="60"/>
      <c r="R66" s="60"/>
      <c r="S66" s="60"/>
      <c r="T66" s="60"/>
      <c r="U66" s="60"/>
      <c r="V66" s="60"/>
      <c r="W66" s="60"/>
    </row>
    <row r="67" spans="2:23">
      <c r="B67" s="106"/>
      <c r="C67" s="60"/>
      <c r="D67" s="60"/>
      <c r="E67" s="60"/>
      <c r="F67" s="60"/>
      <c r="G67" s="60"/>
      <c r="H67" s="60"/>
      <c r="I67" s="60"/>
      <c r="J67" s="60"/>
      <c r="K67" s="60"/>
      <c r="L67" s="60"/>
      <c r="M67" s="60"/>
      <c r="N67" s="60"/>
      <c r="O67" s="60"/>
      <c r="P67" s="60"/>
      <c r="Q67" s="60"/>
      <c r="R67" s="60"/>
      <c r="S67" s="60"/>
      <c r="T67" s="60"/>
      <c r="U67" s="60"/>
      <c r="V67" s="60"/>
      <c r="W67" s="60"/>
    </row>
    <row r="68" spans="2:23">
      <c r="B68" s="106"/>
      <c r="C68" s="60"/>
      <c r="D68" s="60"/>
      <c r="E68" s="60"/>
      <c r="F68" s="60"/>
      <c r="G68" s="60"/>
      <c r="H68" s="60"/>
      <c r="I68" s="60"/>
      <c r="J68" s="60"/>
      <c r="K68" s="60"/>
      <c r="L68" s="60"/>
      <c r="M68" s="60"/>
      <c r="N68" s="60"/>
      <c r="O68" s="60"/>
      <c r="P68" s="60"/>
      <c r="Q68" s="60"/>
      <c r="R68" s="60"/>
      <c r="S68" s="60"/>
      <c r="T68" s="60"/>
      <c r="U68" s="60"/>
      <c r="V68" s="60"/>
      <c r="W68" s="60"/>
    </row>
    <row r="69" spans="2:23">
      <c r="B69" s="106"/>
      <c r="C69" s="60"/>
      <c r="D69" s="60"/>
      <c r="E69" s="60"/>
      <c r="F69" s="60"/>
      <c r="G69" s="60"/>
      <c r="H69" s="60"/>
      <c r="I69" s="60"/>
      <c r="J69" s="60"/>
      <c r="K69" s="60"/>
      <c r="L69" s="60"/>
      <c r="M69" s="60"/>
      <c r="N69" s="60"/>
      <c r="O69" s="60"/>
      <c r="P69" s="60"/>
      <c r="Q69" s="60"/>
      <c r="R69" s="60"/>
      <c r="S69" s="60"/>
      <c r="T69" s="60"/>
      <c r="U69" s="60"/>
      <c r="V69" s="60"/>
      <c r="W69" s="60"/>
    </row>
    <row r="70" spans="2:23">
      <c r="B70" s="106"/>
      <c r="C70" s="60"/>
      <c r="D70" s="60"/>
      <c r="E70" s="60"/>
      <c r="F70" s="60"/>
      <c r="G70" s="60"/>
      <c r="H70" s="60"/>
      <c r="I70" s="60"/>
      <c r="J70" s="60"/>
      <c r="K70" s="60"/>
      <c r="L70" s="60"/>
      <c r="M70" s="60"/>
      <c r="N70" s="60"/>
      <c r="O70" s="60"/>
      <c r="P70" s="60"/>
      <c r="Q70" s="60"/>
      <c r="R70" s="60"/>
      <c r="S70" s="60"/>
      <c r="T70" s="60"/>
      <c r="U70" s="60"/>
      <c r="V70" s="60"/>
      <c r="W70" s="60"/>
    </row>
    <row r="71" spans="2:23">
      <c r="B71" s="106"/>
      <c r="C71" s="60"/>
      <c r="D71" s="60"/>
      <c r="E71" s="60"/>
      <c r="F71" s="60"/>
      <c r="G71" s="60"/>
      <c r="H71" s="60"/>
      <c r="I71" s="60"/>
      <c r="J71" s="60"/>
      <c r="K71" s="60"/>
      <c r="L71" s="60"/>
      <c r="M71" s="60"/>
      <c r="N71" s="60"/>
      <c r="O71" s="60"/>
      <c r="P71" s="60"/>
      <c r="Q71" s="60"/>
      <c r="R71" s="60"/>
      <c r="S71" s="60"/>
      <c r="T71" s="60"/>
      <c r="U71" s="60"/>
      <c r="V71" s="60"/>
      <c r="W71" s="60"/>
    </row>
    <row r="72" spans="2:23">
      <c r="B72" s="106"/>
      <c r="C72" s="60"/>
      <c r="D72" s="60"/>
      <c r="E72" s="60"/>
      <c r="F72" s="60"/>
      <c r="G72" s="60"/>
      <c r="H72" s="60"/>
      <c r="I72" s="60"/>
      <c r="J72" s="60"/>
      <c r="K72" s="60"/>
      <c r="L72" s="60"/>
      <c r="M72" s="60"/>
      <c r="N72" s="60"/>
      <c r="O72" s="60"/>
      <c r="P72" s="60"/>
      <c r="Q72" s="60"/>
      <c r="R72" s="60"/>
      <c r="S72" s="60"/>
      <c r="T72" s="60"/>
      <c r="U72" s="60"/>
      <c r="V72" s="60"/>
      <c r="W72" s="60"/>
    </row>
    <row r="73" spans="2:23">
      <c r="B73" s="106"/>
      <c r="C73" s="60"/>
      <c r="D73" s="60"/>
      <c r="E73" s="60"/>
      <c r="F73" s="60"/>
      <c r="G73" s="60"/>
      <c r="H73" s="60"/>
      <c r="I73" s="60"/>
      <c r="J73" s="60"/>
      <c r="K73" s="60"/>
      <c r="L73" s="60"/>
      <c r="M73" s="60"/>
      <c r="N73" s="60"/>
      <c r="O73" s="60"/>
      <c r="P73" s="60"/>
      <c r="Q73" s="60"/>
      <c r="R73" s="60"/>
      <c r="S73" s="60"/>
      <c r="T73" s="60"/>
      <c r="U73" s="60"/>
      <c r="V73" s="60"/>
      <c r="W73" s="60"/>
    </row>
    <row r="74" spans="2:23">
      <c r="B74" s="106"/>
      <c r="C74" s="60"/>
      <c r="D74" s="60"/>
      <c r="E74" s="60"/>
      <c r="F74" s="60"/>
      <c r="G74" s="60"/>
      <c r="H74" s="60"/>
      <c r="I74" s="60"/>
      <c r="J74" s="60"/>
      <c r="K74" s="60"/>
      <c r="L74" s="60"/>
      <c r="M74" s="60"/>
      <c r="N74" s="60"/>
      <c r="O74" s="60"/>
      <c r="P74" s="60"/>
      <c r="Q74" s="60"/>
      <c r="R74" s="60"/>
      <c r="S74" s="60"/>
      <c r="T74" s="60"/>
      <c r="U74" s="60"/>
      <c r="V74" s="60"/>
      <c r="W74" s="60"/>
    </row>
    <row r="75" spans="2:23">
      <c r="B75" s="106"/>
      <c r="C75" s="60"/>
      <c r="D75" s="60"/>
      <c r="E75" s="60"/>
      <c r="F75" s="60"/>
      <c r="G75" s="60"/>
      <c r="H75" s="60"/>
      <c r="I75" s="60"/>
      <c r="J75" s="60"/>
      <c r="K75" s="60"/>
      <c r="L75" s="60"/>
      <c r="M75" s="60"/>
      <c r="N75" s="60"/>
      <c r="O75" s="60"/>
      <c r="P75" s="60"/>
      <c r="Q75" s="60"/>
      <c r="R75" s="60"/>
      <c r="S75" s="60"/>
      <c r="T75" s="60"/>
      <c r="U75" s="60"/>
      <c r="V75" s="60"/>
      <c r="W75" s="60"/>
    </row>
    <row r="76" spans="2:23">
      <c r="B76" s="106"/>
      <c r="C76" s="60"/>
      <c r="D76" s="60"/>
      <c r="E76" s="60"/>
      <c r="F76" s="60"/>
      <c r="G76" s="60"/>
      <c r="H76" s="60"/>
      <c r="I76" s="60"/>
      <c r="J76" s="60"/>
      <c r="K76" s="60"/>
      <c r="L76" s="60"/>
      <c r="M76" s="60"/>
      <c r="N76" s="60"/>
      <c r="O76" s="60"/>
      <c r="P76" s="60"/>
      <c r="Q76" s="60"/>
      <c r="R76" s="60"/>
      <c r="S76" s="60"/>
      <c r="T76" s="60"/>
      <c r="U76" s="60"/>
      <c r="V76" s="60"/>
      <c r="W76" s="60"/>
    </row>
    <row r="77" spans="2:23">
      <c r="B77" s="106"/>
      <c r="C77" s="60"/>
      <c r="D77" s="60"/>
      <c r="E77" s="60"/>
      <c r="F77" s="60"/>
      <c r="G77" s="60"/>
      <c r="H77" s="60"/>
      <c r="I77" s="60"/>
      <c r="J77" s="60"/>
      <c r="K77" s="60"/>
      <c r="L77" s="60"/>
      <c r="M77" s="60"/>
      <c r="N77" s="60"/>
      <c r="O77" s="60"/>
      <c r="P77" s="60"/>
      <c r="Q77" s="60"/>
      <c r="R77" s="60"/>
      <c r="S77" s="60"/>
      <c r="T77" s="60"/>
      <c r="U77" s="60"/>
      <c r="V77" s="60"/>
      <c r="W77" s="60"/>
    </row>
    <row r="78" spans="2:23">
      <c r="B78" s="106"/>
      <c r="C78" s="60"/>
      <c r="D78" s="60"/>
      <c r="E78" s="60"/>
      <c r="F78" s="60"/>
      <c r="G78" s="60"/>
      <c r="H78" s="60"/>
      <c r="I78" s="60"/>
      <c r="J78" s="60"/>
      <c r="K78" s="60"/>
      <c r="L78" s="60"/>
      <c r="M78" s="60"/>
      <c r="N78" s="60"/>
      <c r="O78" s="60"/>
      <c r="P78" s="60"/>
      <c r="Q78" s="60"/>
      <c r="R78" s="60"/>
      <c r="S78" s="60"/>
      <c r="T78" s="60"/>
      <c r="U78" s="60"/>
      <c r="V78" s="60"/>
      <c r="W78" s="60"/>
    </row>
    <row r="79" spans="2:23">
      <c r="B79" s="106"/>
      <c r="C79" s="60"/>
      <c r="D79" s="60"/>
      <c r="E79" s="60"/>
      <c r="F79" s="60"/>
      <c r="G79" s="60"/>
      <c r="H79" s="60"/>
      <c r="I79" s="60"/>
      <c r="J79" s="60"/>
      <c r="K79" s="60"/>
      <c r="L79" s="60"/>
      <c r="M79" s="60"/>
      <c r="N79" s="60"/>
      <c r="O79" s="60"/>
      <c r="P79" s="60"/>
      <c r="Q79" s="60"/>
      <c r="R79" s="60"/>
      <c r="S79" s="60"/>
      <c r="T79" s="60"/>
      <c r="U79" s="60"/>
      <c r="V79" s="60"/>
      <c r="W79" s="60"/>
    </row>
    <row r="80" spans="2:23">
      <c r="B80" s="106"/>
      <c r="C80" s="60"/>
      <c r="D80" s="60"/>
      <c r="E80" s="60"/>
      <c r="F80" s="60"/>
      <c r="G80" s="60"/>
      <c r="H80" s="60"/>
      <c r="I80" s="60"/>
      <c r="J80" s="60"/>
      <c r="K80" s="60"/>
      <c r="L80" s="60"/>
      <c r="M80" s="60"/>
      <c r="N80" s="60"/>
      <c r="O80" s="60"/>
      <c r="P80" s="60"/>
      <c r="Q80" s="60"/>
      <c r="R80" s="60"/>
      <c r="S80" s="60"/>
      <c r="T80" s="60"/>
      <c r="U80" s="60"/>
      <c r="V80" s="60"/>
      <c r="W80" s="60"/>
    </row>
    <row r="81" spans="2:23">
      <c r="B81" s="106"/>
      <c r="C81" s="60"/>
      <c r="D81" s="60"/>
      <c r="E81" s="60"/>
      <c r="F81" s="60"/>
      <c r="G81" s="60"/>
      <c r="H81" s="60"/>
      <c r="I81" s="60"/>
      <c r="J81" s="60"/>
      <c r="K81" s="60"/>
      <c r="L81" s="60"/>
      <c r="M81" s="60"/>
      <c r="N81" s="60"/>
      <c r="O81" s="60"/>
      <c r="P81" s="60"/>
      <c r="Q81" s="60"/>
      <c r="R81" s="60"/>
      <c r="S81" s="60"/>
      <c r="T81" s="60"/>
      <c r="U81" s="60"/>
      <c r="V81" s="60"/>
      <c r="W81" s="60"/>
    </row>
    <row r="82" spans="2:23">
      <c r="B82" s="106"/>
      <c r="C82" s="60"/>
      <c r="D82" s="60"/>
      <c r="E82" s="60"/>
      <c r="F82" s="60"/>
      <c r="G82" s="60"/>
      <c r="H82" s="60"/>
      <c r="I82" s="60"/>
      <c r="J82" s="60"/>
      <c r="K82" s="60"/>
      <c r="L82" s="60"/>
      <c r="M82" s="60"/>
      <c r="N82" s="60"/>
      <c r="O82" s="60"/>
      <c r="P82" s="60"/>
      <c r="Q82" s="60"/>
      <c r="R82" s="60"/>
      <c r="S82" s="60"/>
      <c r="T82" s="60"/>
      <c r="U82" s="60"/>
      <c r="V82" s="60"/>
      <c r="W82" s="60"/>
    </row>
    <row r="83" spans="2:23">
      <c r="B83" s="106"/>
      <c r="C83" s="60"/>
      <c r="D83" s="60"/>
      <c r="E83" s="60"/>
      <c r="F83" s="60"/>
      <c r="G83" s="60"/>
      <c r="H83" s="60"/>
      <c r="I83" s="60"/>
      <c r="J83" s="60"/>
      <c r="K83" s="60"/>
      <c r="L83" s="60"/>
      <c r="M83" s="60"/>
      <c r="N83" s="60"/>
      <c r="O83" s="60"/>
      <c r="P83" s="60"/>
      <c r="Q83" s="60"/>
      <c r="R83" s="60"/>
      <c r="S83" s="60"/>
      <c r="T83" s="60"/>
      <c r="U83" s="60"/>
      <c r="V83" s="60"/>
      <c r="W83" s="60"/>
    </row>
    <row r="84" spans="2:23">
      <c r="B84" s="106"/>
      <c r="C84" s="60"/>
      <c r="D84" s="60"/>
      <c r="E84" s="60"/>
      <c r="F84" s="60"/>
      <c r="G84" s="60"/>
      <c r="H84" s="60"/>
      <c r="I84" s="60"/>
      <c r="J84" s="60"/>
      <c r="K84" s="60"/>
      <c r="L84" s="60"/>
      <c r="M84" s="60"/>
      <c r="N84" s="60"/>
      <c r="O84" s="60"/>
      <c r="P84" s="60"/>
      <c r="Q84" s="60"/>
      <c r="R84" s="60"/>
      <c r="S84" s="60"/>
      <c r="T84" s="60"/>
      <c r="U84" s="60"/>
      <c r="V84" s="60"/>
      <c r="W84" s="60"/>
    </row>
    <row r="85" spans="2:23">
      <c r="B85" s="106"/>
      <c r="C85" s="60"/>
      <c r="D85" s="60"/>
      <c r="E85" s="60"/>
      <c r="F85" s="60"/>
      <c r="G85" s="60"/>
      <c r="H85" s="60"/>
      <c r="I85" s="60"/>
      <c r="J85" s="60"/>
      <c r="K85" s="60"/>
      <c r="L85" s="60"/>
      <c r="M85" s="60"/>
      <c r="N85" s="60"/>
      <c r="O85" s="60"/>
      <c r="P85" s="60"/>
      <c r="Q85" s="60"/>
      <c r="R85" s="60"/>
      <c r="S85" s="60"/>
      <c r="T85" s="60"/>
      <c r="U85" s="60"/>
      <c r="V85" s="60"/>
      <c r="W85" s="60"/>
    </row>
    <row r="86" spans="2:23">
      <c r="B86" s="106"/>
      <c r="C86" s="60"/>
      <c r="D86" s="60"/>
      <c r="E86" s="60"/>
      <c r="F86" s="60"/>
      <c r="G86" s="60"/>
      <c r="H86" s="60"/>
      <c r="I86" s="60"/>
      <c r="J86" s="60"/>
      <c r="K86" s="60"/>
      <c r="L86" s="60"/>
      <c r="M86" s="60"/>
      <c r="N86" s="60"/>
      <c r="O86" s="60"/>
      <c r="P86" s="60"/>
      <c r="Q86" s="60"/>
      <c r="R86" s="60"/>
      <c r="S86" s="60"/>
      <c r="T86" s="60"/>
      <c r="U86" s="60"/>
      <c r="V86" s="60"/>
      <c r="W86" s="60"/>
    </row>
    <row r="87" spans="2:23">
      <c r="B87" s="106"/>
      <c r="C87" s="60"/>
      <c r="D87" s="60"/>
      <c r="E87" s="60"/>
      <c r="F87" s="60"/>
      <c r="G87" s="60"/>
      <c r="H87" s="60"/>
      <c r="I87" s="60"/>
      <c r="J87" s="60"/>
      <c r="K87" s="60"/>
      <c r="L87" s="60"/>
      <c r="M87" s="60"/>
      <c r="N87" s="60"/>
      <c r="O87" s="60"/>
      <c r="P87" s="60"/>
      <c r="Q87" s="60"/>
      <c r="R87" s="60"/>
      <c r="S87" s="60"/>
      <c r="T87" s="60"/>
      <c r="U87" s="60"/>
      <c r="V87" s="60"/>
      <c r="W87" s="60"/>
    </row>
    <row r="88" spans="2:23">
      <c r="B88" s="106"/>
      <c r="C88" s="60"/>
      <c r="D88" s="60"/>
      <c r="E88" s="60"/>
      <c r="F88" s="60"/>
      <c r="G88" s="60"/>
      <c r="H88" s="60"/>
      <c r="I88" s="60"/>
      <c r="J88" s="60"/>
      <c r="K88" s="60"/>
      <c r="L88" s="60"/>
      <c r="M88" s="60"/>
      <c r="N88" s="60"/>
      <c r="O88" s="60"/>
      <c r="P88" s="60"/>
      <c r="Q88" s="60"/>
      <c r="R88" s="60"/>
      <c r="S88" s="60"/>
      <c r="T88" s="60"/>
      <c r="U88" s="60"/>
      <c r="V88" s="60"/>
      <c r="W88" s="60"/>
    </row>
    <row r="89" spans="2:23">
      <c r="B89" s="106"/>
      <c r="C89" s="60"/>
      <c r="D89" s="60"/>
      <c r="E89" s="60"/>
      <c r="F89" s="60"/>
      <c r="G89" s="60"/>
      <c r="H89" s="60"/>
      <c r="I89" s="60"/>
      <c r="J89" s="60"/>
      <c r="K89" s="60"/>
      <c r="L89" s="60"/>
      <c r="M89" s="60"/>
      <c r="N89" s="60"/>
      <c r="O89" s="60"/>
      <c r="P89" s="60"/>
      <c r="Q89" s="60"/>
      <c r="R89" s="60"/>
      <c r="S89" s="60"/>
      <c r="T89" s="60"/>
      <c r="U89" s="60"/>
      <c r="V89" s="60"/>
      <c r="W89" s="60"/>
    </row>
    <row r="90" spans="2:23">
      <c r="B90" s="106"/>
      <c r="C90" s="60"/>
      <c r="D90" s="60"/>
      <c r="E90" s="60"/>
      <c r="F90" s="60"/>
      <c r="G90" s="60"/>
      <c r="H90" s="60"/>
      <c r="I90" s="60"/>
      <c r="J90" s="60"/>
      <c r="K90" s="60"/>
      <c r="L90" s="60"/>
      <c r="M90" s="60"/>
      <c r="N90" s="60"/>
      <c r="O90" s="60"/>
      <c r="P90" s="60"/>
      <c r="Q90" s="60"/>
      <c r="R90" s="60"/>
      <c r="S90" s="60"/>
      <c r="T90" s="60"/>
      <c r="U90" s="60"/>
      <c r="V90" s="60"/>
      <c r="W90" s="60"/>
    </row>
    <row r="91" spans="2:23">
      <c r="B91" s="106"/>
      <c r="C91" s="60"/>
      <c r="D91" s="60"/>
      <c r="E91" s="60"/>
      <c r="F91" s="60"/>
      <c r="G91" s="60"/>
      <c r="H91" s="60"/>
      <c r="I91" s="60"/>
      <c r="J91" s="60"/>
      <c r="K91" s="60"/>
      <c r="L91" s="60"/>
      <c r="M91" s="60"/>
      <c r="N91" s="60"/>
      <c r="O91" s="60"/>
      <c r="P91" s="60"/>
      <c r="Q91" s="60"/>
      <c r="R91" s="60"/>
      <c r="S91" s="60"/>
      <c r="T91" s="60"/>
      <c r="U91" s="60"/>
      <c r="V91" s="60"/>
      <c r="W91" s="60"/>
    </row>
    <row r="92" spans="2:23">
      <c r="B92" s="106"/>
      <c r="C92" s="60"/>
      <c r="D92" s="60"/>
      <c r="E92" s="60"/>
      <c r="F92" s="60"/>
      <c r="G92" s="60"/>
      <c r="H92" s="60"/>
      <c r="I92" s="60"/>
      <c r="J92" s="60"/>
      <c r="K92" s="60"/>
      <c r="L92" s="60"/>
      <c r="M92" s="60"/>
      <c r="N92" s="60"/>
      <c r="O92" s="60"/>
      <c r="P92" s="60"/>
      <c r="Q92" s="60"/>
      <c r="R92" s="60"/>
      <c r="S92" s="60"/>
      <c r="T92" s="60"/>
      <c r="U92" s="60"/>
      <c r="V92" s="60"/>
      <c r="W92" s="60"/>
    </row>
    <row r="93" spans="2:23">
      <c r="B93" s="106"/>
      <c r="C93" s="60"/>
      <c r="D93" s="60"/>
      <c r="E93" s="60"/>
      <c r="F93" s="60"/>
      <c r="G93" s="60"/>
      <c r="H93" s="60"/>
      <c r="I93" s="60"/>
      <c r="J93" s="60"/>
      <c r="K93" s="60"/>
      <c r="L93" s="60"/>
      <c r="M93" s="60"/>
      <c r="N93" s="60"/>
      <c r="O93" s="60"/>
      <c r="P93" s="60"/>
      <c r="Q93" s="60"/>
      <c r="R93" s="60"/>
      <c r="S93" s="60"/>
      <c r="T93" s="60"/>
      <c r="U93" s="60"/>
      <c r="V93" s="60"/>
      <c r="W93" s="60"/>
    </row>
    <row r="94" spans="2:23">
      <c r="B94" s="106"/>
      <c r="C94" s="60"/>
      <c r="D94" s="60"/>
      <c r="E94" s="60"/>
      <c r="F94" s="60"/>
      <c r="G94" s="60"/>
      <c r="H94" s="60"/>
      <c r="I94" s="60"/>
      <c r="J94" s="60"/>
      <c r="K94" s="60"/>
      <c r="L94" s="60"/>
      <c r="M94" s="60"/>
      <c r="N94" s="60"/>
      <c r="O94" s="60"/>
      <c r="P94" s="60"/>
      <c r="Q94" s="60"/>
      <c r="R94" s="60"/>
      <c r="S94" s="60"/>
      <c r="T94" s="60"/>
      <c r="U94" s="60"/>
      <c r="V94" s="60"/>
      <c r="W94" s="60"/>
    </row>
    <row r="95" spans="2:23">
      <c r="B95" s="106"/>
      <c r="C95" s="60"/>
      <c r="D95" s="60"/>
      <c r="E95" s="60"/>
      <c r="F95" s="60"/>
      <c r="G95" s="60"/>
      <c r="H95" s="60"/>
      <c r="I95" s="60"/>
      <c r="J95" s="60"/>
      <c r="K95" s="60"/>
      <c r="L95" s="60"/>
      <c r="M95" s="60"/>
      <c r="N95" s="60"/>
      <c r="O95" s="60"/>
      <c r="P95" s="60"/>
      <c r="Q95" s="60"/>
      <c r="R95" s="60"/>
      <c r="S95" s="60"/>
      <c r="T95" s="60"/>
      <c r="U95" s="60"/>
      <c r="V95" s="60"/>
      <c r="W95" s="60"/>
    </row>
    <row r="96" spans="2:23">
      <c r="B96" s="106"/>
      <c r="C96" s="60"/>
      <c r="D96" s="60"/>
      <c r="E96" s="60"/>
      <c r="F96" s="60"/>
      <c r="G96" s="60"/>
      <c r="H96" s="60"/>
      <c r="I96" s="60"/>
      <c r="J96" s="60"/>
      <c r="K96" s="60"/>
      <c r="L96" s="60"/>
      <c r="M96" s="60"/>
      <c r="N96" s="60"/>
      <c r="O96" s="60"/>
      <c r="P96" s="60"/>
      <c r="Q96" s="60"/>
      <c r="R96" s="60"/>
      <c r="S96" s="60"/>
      <c r="T96" s="60"/>
      <c r="U96" s="60"/>
      <c r="V96" s="60"/>
      <c r="W96" s="60"/>
    </row>
    <row r="97" spans="2:23">
      <c r="B97" s="106"/>
      <c r="C97" s="60"/>
      <c r="D97" s="60"/>
      <c r="E97" s="60"/>
      <c r="F97" s="60"/>
      <c r="G97" s="60"/>
      <c r="H97" s="60"/>
      <c r="I97" s="60"/>
      <c r="J97" s="60"/>
      <c r="K97" s="60"/>
      <c r="L97" s="60"/>
      <c r="M97" s="60"/>
      <c r="N97" s="60"/>
      <c r="O97" s="60"/>
      <c r="P97" s="60"/>
      <c r="Q97" s="60"/>
      <c r="R97" s="60"/>
      <c r="S97" s="60"/>
      <c r="T97" s="60"/>
      <c r="U97" s="60"/>
      <c r="V97" s="60"/>
      <c r="W97" s="60"/>
    </row>
    <row r="98" spans="2:23">
      <c r="B98" s="106"/>
      <c r="C98" s="60"/>
      <c r="D98" s="60"/>
      <c r="E98" s="60"/>
      <c r="F98" s="60"/>
      <c r="G98" s="60"/>
      <c r="H98" s="60"/>
      <c r="I98" s="60"/>
      <c r="J98" s="60"/>
      <c r="K98" s="60"/>
      <c r="L98" s="60"/>
      <c r="M98" s="60"/>
      <c r="N98" s="60"/>
      <c r="O98" s="60"/>
      <c r="P98" s="60"/>
      <c r="Q98" s="60"/>
      <c r="R98" s="60"/>
      <c r="S98" s="60"/>
      <c r="T98" s="60"/>
      <c r="U98" s="60"/>
      <c r="V98" s="60"/>
      <c r="W98" s="60"/>
    </row>
    <row r="99" spans="2:23">
      <c r="B99" s="106"/>
      <c r="C99" s="60"/>
      <c r="D99" s="60"/>
      <c r="E99" s="60"/>
      <c r="F99" s="60"/>
      <c r="G99" s="60"/>
      <c r="H99" s="60"/>
      <c r="I99" s="60"/>
      <c r="J99" s="60"/>
      <c r="K99" s="60"/>
      <c r="L99" s="60"/>
      <c r="M99" s="60"/>
      <c r="N99" s="60"/>
      <c r="O99" s="60"/>
      <c r="P99" s="60"/>
      <c r="Q99" s="60"/>
      <c r="R99" s="60"/>
      <c r="S99" s="60"/>
      <c r="T99" s="60"/>
      <c r="U99" s="60"/>
      <c r="V99" s="60"/>
      <c r="W99" s="60"/>
    </row>
    <row r="100" spans="2:23">
      <c r="B100" s="106"/>
      <c r="C100" s="60"/>
      <c r="D100" s="60"/>
      <c r="E100" s="60"/>
      <c r="F100" s="60"/>
      <c r="G100" s="60"/>
      <c r="H100" s="60"/>
      <c r="I100" s="60"/>
      <c r="J100" s="60"/>
      <c r="K100" s="60"/>
      <c r="L100" s="60"/>
      <c r="M100" s="60"/>
      <c r="N100" s="60"/>
      <c r="O100" s="60"/>
      <c r="P100" s="60"/>
      <c r="Q100" s="60"/>
      <c r="R100" s="60"/>
      <c r="S100" s="60"/>
      <c r="T100" s="60"/>
      <c r="U100" s="60"/>
      <c r="V100" s="60"/>
      <c r="W100" s="60"/>
    </row>
    <row r="101" spans="2:23">
      <c r="B101" s="106"/>
      <c r="C101" s="60"/>
      <c r="D101" s="60"/>
      <c r="E101" s="60"/>
      <c r="F101" s="60"/>
      <c r="G101" s="60"/>
      <c r="H101" s="60"/>
      <c r="I101" s="60"/>
      <c r="J101" s="60"/>
      <c r="K101" s="60"/>
      <c r="L101" s="60"/>
      <c r="M101" s="60"/>
      <c r="N101" s="60"/>
      <c r="O101" s="60"/>
      <c r="P101" s="60"/>
      <c r="Q101" s="60"/>
      <c r="R101" s="60"/>
      <c r="S101" s="60"/>
      <c r="T101" s="60"/>
      <c r="U101" s="60"/>
      <c r="V101" s="60"/>
      <c r="W101" s="60"/>
    </row>
    <row r="102" spans="2:23">
      <c r="B102" s="106"/>
      <c r="C102" s="60"/>
      <c r="D102" s="60"/>
      <c r="E102" s="60"/>
      <c r="F102" s="60"/>
      <c r="G102" s="60"/>
      <c r="H102" s="60"/>
      <c r="I102" s="60"/>
      <c r="J102" s="60"/>
      <c r="K102" s="60"/>
      <c r="L102" s="60"/>
      <c r="M102" s="60"/>
      <c r="N102" s="60"/>
      <c r="O102" s="60"/>
      <c r="P102" s="60"/>
      <c r="Q102" s="60"/>
      <c r="R102" s="60"/>
      <c r="S102" s="60"/>
      <c r="T102" s="60"/>
      <c r="U102" s="60"/>
      <c r="V102" s="60"/>
      <c r="W102" s="60"/>
    </row>
    <row r="103" spans="2:23">
      <c r="B103" s="106"/>
      <c r="C103" s="60"/>
      <c r="D103" s="60"/>
      <c r="E103" s="60"/>
      <c r="F103" s="60"/>
      <c r="G103" s="60"/>
      <c r="H103" s="60"/>
      <c r="I103" s="60"/>
      <c r="J103" s="60"/>
      <c r="K103" s="60"/>
      <c r="L103" s="60"/>
      <c r="M103" s="60"/>
      <c r="N103" s="60"/>
      <c r="O103" s="60"/>
      <c r="P103" s="60"/>
      <c r="Q103" s="60"/>
      <c r="R103" s="60"/>
      <c r="S103" s="60"/>
      <c r="T103" s="60"/>
      <c r="U103" s="60"/>
      <c r="V103" s="60"/>
      <c r="W103" s="60"/>
    </row>
    <row r="104" spans="2:23">
      <c r="B104" s="106"/>
      <c r="C104" s="60"/>
      <c r="D104" s="60"/>
      <c r="E104" s="60"/>
      <c r="F104" s="60"/>
      <c r="G104" s="60"/>
      <c r="H104" s="60"/>
      <c r="I104" s="60"/>
      <c r="J104" s="60"/>
      <c r="K104" s="60"/>
      <c r="L104" s="60"/>
      <c r="M104" s="60"/>
      <c r="N104" s="60"/>
      <c r="O104" s="60"/>
      <c r="P104" s="60"/>
      <c r="Q104" s="60"/>
      <c r="R104" s="60"/>
      <c r="S104" s="60"/>
      <c r="T104" s="60"/>
      <c r="U104" s="60"/>
      <c r="V104" s="60"/>
      <c r="W104" s="60"/>
    </row>
    <row r="105" spans="2:23">
      <c r="B105" s="106"/>
      <c r="C105" s="60"/>
      <c r="D105" s="60"/>
      <c r="E105" s="60"/>
      <c r="F105" s="60"/>
      <c r="G105" s="60"/>
      <c r="H105" s="60"/>
      <c r="I105" s="60"/>
      <c r="J105" s="60"/>
      <c r="K105" s="60"/>
      <c r="L105" s="60"/>
      <c r="M105" s="60"/>
      <c r="N105" s="60"/>
      <c r="O105" s="60"/>
      <c r="P105" s="60"/>
      <c r="Q105" s="60"/>
      <c r="R105" s="60"/>
      <c r="S105" s="60"/>
      <c r="T105" s="60"/>
      <c r="U105" s="60"/>
      <c r="V105" s="60"/>
      <c r="W105" s="60"/>
    </row>
  </sheetData>
  <printOptions horizontalCentered="1"/>
  <pageMargins left="0.25" right="0.25" top="1" bottom="1" header="0.65" footer="0.5"/>
  <pageSetup scale="27" orientation="landscape" horizontalDpi="1200" verticalDpi="1200" r:id="rId1"/>
  <headerFooter alignWithMargins="0">
    <oddHeader xml:space="preserve">&amp;R&amp;16AEP - SPP Transco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4"/>
  <sheetViews>
    <sheetView topLeftCell="A16" zoomScale="70" zoomScaleNormal="70" zoomScaleSheetLayoutView="84" zoomScalePageLayoutView="80" workbookViewId="0">
      <selection activeCell="V40" sqref="V40"/>
    </sheetView>
  </sheetViews>
  <sheetFormatPr defaultColWidth="8.7109375" defaultRowHeight="12.75" customHeight="1"/>
  <cols>
    <col min="1" max="1" width="7.42578125" style="131" customWidth="1"/>
    <col min="2" max="2" width="9" style="131" customWidth="1"/>
    <col min="3" max="3" width="45.7109375" style="131" customWidth="1"/>
    <col min="4" max="4" width="9.28515625" style="131" customWidth="1"/>
    <col min="5" max="5" width="13.28515625" style="131" customWidth="1"/>
    <col min="6" max="6" width="11.5703125" style="131" customWidth="1"/>
    <col min="7" max="7" width="12.7109375" style="131" customWidth="1"/>
    <col min="8" max="8" width="3.28515625" style="131" customWidth="1"/>
    <col min="9" max="10" width="14.7109375" style="131" customWidth="1"/>
    <col min="11" max="11" width="15.28515625" style="131" customWidth="1"/>
    <col min="12" max="12" width="2.42578125" style="131" customWidth="1"/>
    <col min="13" max="13" width="10.42578125" style="131" customWidth="1"/>
    <col min="14" max="14" width="14.28515625" style="131" customWidth="1"/>
    <col min="15" max="16" width="14.42578125" style="131" customWidth="1"/>
    <col min="17" max="17" width="11.28515625" style="131" bestFit="1" customWidth="1"/>
    <col min="18" max="18" width="21.42578125" style="131" customWidth="1"/>
    <col min="19" max="19" width="2.42578125" style="131" customWidth="1"/>
    <col min="20" max="20" width="17.42578125" style="131" customWidth="1"/>
    <col min="21" max="21" width="8.7109375" style="131"/>
    <col min="22" max="22" width="16.7109375" style="131" customWidth="1"/>
    <col min="23" max="16384" width="8.7109375" style="131"/>
  </cols>
  <sheetData>
    <row r="1" spans="1:23" ht="16.5" customHeight="1">
      <c r="A1" s="130"/>
    </row>
    <row r="2" spans="1:23" ht="15">
      <c r="H2" s="132" t="s">
        <v>665</v>
      </c>
      <c r="U2" s="131">
        <f>+'OKT TCOS'!N2</f>
        <v>2022</v>
      </c>
    </row>
    <row r="3" spans="1:23" ht="15">
      <c r="H3" s="133" t="s">
        <v>664</v>
      </c>
    </row>
    <row r="4" spans="1:23" ht="15">
      <c r="H4" s="58" t="str">
        <f>"For True Up Year "&amp;U2&amp;""</f>
        <v>For True Up Year 2022</v>
      </c>
    </row>
    <row r="5" spans="1:23" ht="15">
      <c r="H5" s="53"/>
    </row>
    <row r="6" spans="1:23" ht="15.75">
      <c r="H6" s="134" t="s">
        <v>550</v>
      </c>
    </row>
    <row r="8" spans="1:23" ht="18">
      <c r="C8" s="135"/>
      <c r="E8" s="135"/>
      <c r="F8" s="135"/>
      <c r="G8" s="135"/>
      <c r="H8" s="136" t="str">
        <f>+'OKT TCOS'!F8</f>
        <v>AEP OKLAHOMA TRANSMISSION COMPANY, INC.</v>
      </c>
      <c r="I8" s="135"/>
      <c r="J8" s="135"/>
      <c r="K8" s="135"/>
    </row>
    <row r="9" spans="1:23">
      <c r="D9" s="137"/>
    </row>
    <row r="10" spans="1:23">
      <c r="A10" s="131" t="s">
        <v>668</v>
      </c>
    </row>
    <row r="13" spans="1:23" ht="24.75" customHeight="1" thickBot="1">
      <c r="A13" s="138" t="s">
        <v>298</v>
      </c>
      <c r="B13" s="138" t="s">
        <v>299</v>
      </c>
      <c r="C13" s="139" t="s">
        <v>47</v>
      </c>
      <c r="D13" s="138" t="s">
        <v>301</v>
      </c>
      <c r="E13" s="138" t="s">
        <v>226</v>
      </c>
      <c r="F13" s="138" t="s">
        <v>227</v>
      </c>
      <c r="G13" s="138" t="str">
        <f>"(G) = "&amp;E13&amp;" + "&amp;F13</f>
        <v>(G) = (E) + (F)</v>
      </c>
      <c r="H13" s="138"/>
      <c r="I13" s="138" t="s">
        <v>233</v>
      </c>
      <c r="J13" s="138" t="s">
        <v>174</v>
      </c>
      <c r="K13" s="138" t="str">
        <f>"(J) = "&amp;I13&amp;" - "&amp;J13</f>
        <v>(J) = (H) - (I)</v>
      </c>
      <c r="L13" s="138"/>
      <c r="M13" s="138" t="s">
        <v>828</v>
      </c>
      <c r="N13" s="138" t="s">
        <v>551</v>
      </c>
      <c r="O13" s="138" t="str">
        <f>"(M) = "&amp;M13&amp;"-"&amp;N13</f>
        <v>(M) = (K)-(L)</v>
      </c>
      <c r="P13" s="138" t="s">
        <v>829</v>
      </c>
      <c r="Q13" s="138" t="s">
        <v>553</v>
      </c>
      <c r="R13" s="138" t="str">
        <f>"(P) = "&amp;LEFT(K13,3)&amp;"+ "&amp;LEFT(P13,3)&amp;"+"&amp;LEFT(O13,3)&amp;"+"&amp;Q13</f>
        <v>(P) = (J)+ (N)+(M)+(O)</v>
      </c>
      <c r="S13" s="138"/>
      <c r="T13" s="138" t="str">
        <f>"(Q) = "&amp;LEFT(G13,3)&amp;" + "&amp;LEFT(R13,3)</f>
        <v>(Q) = (G) + (P)</v>
      </c>
      <c r="U13" s="138"/>
      <c r="V13" s="140"/>
      <c r="W13" s="141"/>
    </row>
    <row r="14" spans="1:23" ht="16.5" customHeight="1" thickBot="1">
      <c r="A14" s="142"/>
      <c r="B14" s="143"/>
      <c r="C14" s="143"/>
      <c r="D14" s="143"/>
      <c r="E14" s="2168" t="str">
        <f>"Projected ARR For "&amp;U2+1&amp;" From WS-F"</f>
        <v>Projected ARR For 2023 From WS-F</v>
      </c>
      <c r="F14" s="2168"/>
      <c r="G14" s="2168"/>
      <c r="H14" s="143"/>
      <c r="I14" s="2168" t="str">
        <f>"True Up ARR For "&amp;U2&amp;" From WS-G"</f>
        <v>True Up ARR For 2022 From WS-G</v>
      </c>
      <c r="J14" s="2168"/>
      <c r="K14" s="2168"/>
      <c r="L14" s="144"/>
      <c r="M14" s="144" t="s">
        <v>555</v>
      </c>
      <c r="N14" s="145"/>
      <c r="O14" s="145"/>
      <c r="P14" s="146"/>
      <c r="Q14" s="147"/>
      <c r="R14" s="148"/>
      <c r="S14" s="143"/>
      <c r="T14" s="149"/>
      <c r="U14" s="150"/>
    </row>
    <row r="15" spans="1:23" ht="117" customHeight="1" thickBot="1">
      <c r="A15" s="151" t="s">
        <v>556</v>
      </c>
      <c r="B15" s="152" t="s">
        <v>557</v>
      </c>
      <c r="C15" s="152" t="s">
        <v>558</v>
      </c>
      <c r="D15" s="152" t="s">
        <v>559</v>
      </c>
      <c r="E15" s="152" t="s">
        <v>554</v>
      </c>
      <c r="F15" s="152" t="s">
        <v>560</v>
      </c>
      <c r="G15" s="152" t="s">
        <v>255</v>
      </c>
      <c r="H15" s="152"/>
      <c r="I15" s="152" t="s">
        <v>901</v>
      </c>
      <c r="J15" s="152" t="s">
        <v>902</v>
      </c>
      <c r="K15" s="152" t="s">
        <v>899</v>
      </c>
      <c r="L15" s="152"/>
      <c r="M15" s="152" t="s">
        <v>561</v>
      </c>
      <c r="N15" s="152" t="s">
        <v>903</v>
      </c>
      <c r="O15" s="152" t="s">
        <v>899</v>
      </c>
      <c r="P15" s="152" t="s">
        <v>911</v>
      </c>
      <c r="Q15" s="152" t="s">
        <v>900</v>
      </c>
      <c r="R15" s="152" t="s">
        <v>912</v>
      </c>
      <c r="S15" s="153"/>
      <c r="T15" s="154" t="str">
        <f>"Total ADJUSTED Revenue Requirement Effective
1/1/"&amp;U2&amp;""</f>
        <v>Total ADJUSTED Revenue Requirement Effective
1/1/2022</v>
      </c>
      <c r="V15" s="155" t="s">
        <v>663</v>
      </c>
    </row>
    <row r="16" spans="1:23">
      <c r="A16" s="156"/>
      <c r="B16" s="157"/>
      <c r="C16" s="157"/>
      <c r="D16" s="158"/>
      <c r="E16" s="159"/>
      <c r="F16" s="159"/>
      <c r="G16" s="159"/>
      <c r="H16" s="158"/>
      <c r="I16" s="159"/>
      <c r="J16" s="159"/>
      <c r="K16" s="159"/>
      <c r="L16" s="159"/>
      <c r="M16" s="159"/>
      <c r="N16" s="159"/>
      <c r="O16" s="159"/>
      <c r="P16" s="159"/>
      <c r="Q16" s="159"/>
      <c r="R16" s="159"/>
      <c r="S16" s="158"/>
      <c r="T16" s="160"/>
      <c r="V16" s="161"/>
    </row>
    <row r="17" spans="1:23">
      <c r="A17" s="162" t="s">
        <v>969</v>
      </c>
      <c r="B17" s="138" t="s">
        <v>970</v>
      </c>
      <c r="C17" s="163" t="s">
        <v>988</v>
      </c>
      <c r="D17" s="164">
        <v>2010</v>
      </c>
      <c r="E17" s="165">
        <v>0</v>
      </c>
      <c r="F17" s="166">
        <v>0</v>
      </c>
      <c r="G17" s="166">
        <v>0</v>
      </c>
      <c r="H17" s="167"/>
      <c r="I17" s="165">
        <v>9832.4653248824179</v>
      </c>
      <c r="J17" s="168">
        <v>80610.356542895039</v>
      </c>
      <c r="K17" s="168">
        <v>86379.761492382167</v>
      </c>
      <c r="L17" s="165">
        <v>-5769.4049494871288</v>
      </c>
      <c r="M17" s="165"/>
      <c r="N17" s="166">
        <v>0</v>
      </c>
      <c r="O17" s="166">
        <v>0</v>
      </c>
      <c r="P17" s="166"/>
      <c r="Q17" s="168">
        <v>912.8495688676868</v>
      </c>
      <c r="R17" s="169">
        <v>4440.8434948386803</v>
      </c>
      <c r="S17" s="169"/>
      <c r="T17" s="185">
        <v>4440.8434948386803</v>
      </c>
      <c r="V17" s="170">
        <v>4063.0603753952892</v>
      </c>
      <c r="W17" s="131" t="s">
        <v>969</v>
      </c>
    </row>
    <row r="18" spans="1:23">
      <c r="A18" s="162" t="s">
        <v>971</v>
      </c>
      <c r="B18" s="138" t="s">
        <v>970</v>
      </c>
      <c r="C18" s="163" t="s">
        <v>989</v>
      </c>
      <c r="D18" s="164">
        <v>2010</v>
      </c>
      <c r="E18" s="165">
        <v>0</v>
      </c>
      <c r="F18" s="166">
        <v>0</v>
      </c>
      <c r="G18" s="166">
        <v>0</v>
      </c>
      <c r="H18" s="167"/>
      <c r="I18" s="165">
        <v>13643.477206856987</v>
      </c>
      <c r="J18" s="168">
        <v>108824.34215553271</v>
      </c>
      <c r="K18" s="168">
        <v>116613.06466196045</v>
      </c>
      <c r="L18" s="165">
        <v>-7788.7225064277445</v>
      </c>
      <c r="M18" s="165"/>
      <c r="N18" s="166">
        <v>0</v>
      </c>
      <c r="O18" s="166">
        <v>0</v>
      </c>
      <c r="P18" s="166"/>
      <c r="Q18" s="168">
        <v>1315.3903241206299</v>
      </c>
      <c r="R18" s="169">
        <v>6399.1294549118975</v>
      </c>
      <c r="S18" s="169"/>
      <c r="T18" s="185">
        <v>6399.1294549118975</v>
      </c>
      <c r="V18" s="170">
        <v>5854.7547004292428</v>
      </c>
      <c r="W18" s="131" t="s">
        <v>971</v>
      </c>
    </row>
    <row r="19" spans="1:23">
      <c r="A19" s="162" t="s">
        <v>972</v>
      </c>
      <c r="B19" s="138" t="s">
        <v>970</v>
      </c>
      <c r="C19" s="163" t="s">
        <v>990</v>
      </c>
      <c r="D19" s="164">
        <v>2011</v>
      </c>
      <c r="E19" s="165">
        <v>0</v>
      </c>
      <c r="F19" s="166">
        <v>0</v>
      </c>
      <c r="G19" s="166">
        <v>0</v>
      </c>
      <c r="H19" s="167"/>
      <c r="I19" s="165">
        <v>8454.1434399858554</v>
      </c>
      <c r="J19" s="168">
        <v>69379.195056155571</v>
      </c>
      <c r="K19" s="168">
        <v>74344.768817579374</v>
      </c>
      <c r="L19" s="165">
        <v>-4965.5737614238024</v>
      </c>
      <c r="M19" s="165"/>
      <c r="N19" s="166">
        <v>0</v>
      </c>
      <c r="O19" s="166">
        <v>0</v>
      </c>
      <c r="P19" s="166"/>
      <c r="Q19" s="168">
        <v>783.77849030373704</v>
      </c>
      <c r="R19" s="169">
        <v>3812.9366861368744</v>
      </c>
      <c r="S19" s="169"/>
      <c r="T19" s="185">
        <v>3812.9366861368744</v>
      </c>
      <c r="V19" s="170">
        <v>3488.569678562053</v>
      </c>
      <c r="W19" s="131" t="s">
        <v>972</v>
      </c>
    </row>
    <row r="20" spans="1:23">
      <c r="A20" s="162" t="s">
        <v>973</v>
      </c>
      <c r="B20" s="138" t="s">
        <v>970</v>
      </c>
      <c r="C20" s="163" t="s">
        <v>991</v>
      </c>
      <c r="D20" s="164">
        <v>2011</v>
      </c>
      <c r="E20" s="165">
        <v>0</v>
      </c>
      <c r="F20" s="166">
        <v>0</v>
      </c>
      <c r="G20" s="166">
        <v>0</v>
      </c>
      <c r="H20" s="167"/>
      <c r="I20" s="165">
        <v>257175.31891756505</v>
      </c>
      <c r="J20" s="168">
        <v>1234604.8576347374</v>
      </c>
      <c r="K20" s="168">
        <v>1322967.3917032771</v>
      </c>
      <c r="L20" s="165">
        <v>-88362.534068539739</v>
      </c>
      <c r="M20" s="165"/>
      <c r="N20" s="166">
        <v>0</v>
      </c>
      <c r="O20" s="166">
        <v>0</v>
      </c>
      <c r="P20" s="166"/>
      <c r="Q20" s="168">
        <v>37927.242923087033</v>
      </c>
      <c r="R20" s="169">
        <v>184508.98785117397</v>
      </c>
      <c r="S20" s="169"/>
      <c r="T20" s="185">
        <v>184508.98785117397</v>
      </c>
      <c r="V20" s="170">
        <v>168812.78484902531</v>
      </c>
      <c r="W20" s="131" t="s">
        <v>973</v>
      </c>
    </row>
    <row r="21" spans="1:23">
      <c r="A21" s="162" t="s">
        <v>974</v>
      </c>
      <c r="B21" s="138" t="s">
        <v>970</v>
      </c>
      <c r="C21" s="163" t="s">
        <v>992</v>
      </c>
      <c r="D21" s="164">
        <v>2012</v>
      </c>
      <c r="E21" s="165">
        <v>0</v>
      </c>
      <c r="F21" s="166">
        <v>0</v>
      </c>
      <c r="G21" s="166">
        <v>0</v>
      </c>
      <c r="H21" s="167"/>
      <c r="I21" s="165">
        <v>0</v>
      </c>
      <c r="J21" s="168">
        <v>0</v>
      </c>
      <c r="K21" s="168">
        <v>0</v>
      </c>
      <c r="L21" s="165">
        <v>0</v>
      </c>
      <c r="M21" s="165"/>
      <c r="N21" s="166">
        <v>0</v>
      </c>
      <c r="O21" s="166">
        <v>0</v>
      </c>
      <c r="P21" s="166"/>
      <c r="Q21" s="168">
        <v>0</v>
      </c>
      <c r="R21" s="169">
        <v>0</v>
      </c>
      <c r="S21" s="169"/>
      <c r="T21" s="185">
        <v>0</v>
      </c>
      <c r="V21" s="170">
        <v>0</v>
      </c>
      <c r="W21" s="131" t="s">
        <v>974</v>
      </c>
    </row>
    <row r="22" spans="1:23" ht="25.5">
      <c r="A22" s="162" t="s">
        <v>975</v>
      </c>
      <c r="B22" s="138" t="s">
        <v>970</v>
      </c>
      <c r="C22" s="163" t="s">
        <v>993</v>
      </c>
      <c r="D22" s="164">
        <v>2013</v>
      </c>
      <c r="E22" s="165">
        <v>0</v>
      </c>
      <c r="F22" s="166">
        <v>0</v>
      </c>
      <c r="G22" s="166">
        <v>0</v>
      </c>
      <c r="H22" s="167"/>
      <c r="I22" s="165">
        <v>395585.02401422244</v>
      </c>
      <c r="J22" s="168">
        <v>3370176.3885142696</v>
      </c>
      <c r="K22" s="168">
        <v>3611385.0020277482</v>
      </c>
      <c r="L22" s="165">
        <v>-241208.61351347854</v>
      </c>
      <c r="M22" s="165"/>
      <c r="N22" s="166">
        <v>0</v>
      </c>
      <c r="O22" s="166">
        <v>0</v>
      </c>
      <c r="P22" s="166"/>
      <c r="Q22" s="168">
        <v>34683.816322870902</v>
      </c>
      <c r="R22" s="169">
        <v>168730.32024833668</v>
      </c>
      <c r="S22" s="169"/>
      <c r="T22" s="185">
        <v>168730.32024833668</v>
      </c>
      <c r="V22" s="170">
        <v>154376.41050074389</v>
      </c>
      <c r="W22" s="131" t="s">
        <v>975</v>
      </c>
    </row>
    <row r="23" spans="1:23">
      <c r="A23" s="162" t="s">
        <v>976</v>
      </c>
      <c r="B23" s="138" t="s">
        <v>970</v>
      </c>
      <c r="C23" s="163" t="s">
        <v>994</v>
      </c>
      <c r="D23" s="164">
        <v>2014</v>
      </c>
      <c r="E23" s="165">
        <v>0</v>
      </c>
      <c r="F23" s="166">
        <v>0</v>
      </c>
      <c r="G23" s="166">
        <v>0</v>
      </c>
      <c r="H23" s="167"/>
      <c r="I23" s="165">
        <v>141967.0083585158</v>
      </c>
      <c r="J23" s="168">
        <v>1201920.9289570532</v>
      </c>
      <c r="K23" s="168">
        <v>1287944.2248933143</v>
      </c>
      <c r="L23" s="165">
        <v>-86023.295936261071</v>
      </c>
      <c r="M23" s="165"/>
      <c r="N23" s="166">
        <v>0</v>
      </c>
      <c r="O23" s="166">
        <v>0</v>
      </c>
      <c r="P23" s="166"/>
      <c r="Q23" s="168">
        <v>12568.898575755164</v>
      </c>
      <c r="R23" s="169">
        <v>61145.355577770773</v>
      </c>
      <c r="S23" s="169"/>
      <c r="T23" s="185">
        <v>61145.355577770773</v>
      </c>
      <c r="V23" s="170">
        <v>55943.712422254728</v>
      </c>
      <c r="W23" s="131" t="s">
        <v>976</v>
      </c>
    </row>
    <row r="24" spans="1:23">
      <c r="A24" s="162" t="s">
        <v>977</v>
      </c>
      <c r="B24" s="138" t="s">
        <v>970</v>
      </c>
      <c r="C24" s="163" t="s">
        <v>995</v>
      </c>
      <c r="D24" s="164">
        <v>2014</v>
      </c>
      <c r="E24" s="171">
        <v>0</v>
      </c>
      <c r="F24" s="172">
        <v>0</v>
      </c>
      <c r="G24" s="172">
        <v>0</v>
      </c>
      <c r="H24" s="173"/>
      <c r="I24" s="171">
        <v>24578.02789832605</v>
      </c>
      <c r="J24" s="168">
        <v>219686.68462518524</v>
      </c>
      <c r="K24" s="168">
        <v>235409.99239815742</v>
      </c>
      <c r="L24" s="171">
        <v>-15723.307772972184</v>
      </c>
      <c r="M24" s="171"/>
      <c r="N24" s="172">
        <v>0</v>
      </c>
      <c r="O24" s="172">
        <v>0</v>
      </c>
      <c r="P24" s="172"/>
      <c r="Q24" s="174">
        <v>1989.3938809823669</v>
      </c>
      <c r="R24" s="175">
        <v>9678.031492079228</v>
      </c>
      <c r="S24" s="175"/>
      <c r="T24" s="185">
        <v>9678.031492079228</v>
      </c>
      <c r="V24" s="170">
        <v>8854.720125353866</v>
      </c>
      <c r="W24" s="131" t="s">
        <v>977</v>
      </c>
    </row>
    <row r="25" spans="1:23">
      <c r="A25" s="176" t="s">
        <v>978</v>
      </c>
      <c r="B25" s="138" t="s">
        <v>970</v>
      </c>
      <c r="C25" s="163" t="s">
        <v>996</v>
      </c>
      <c r="D25" s="164">
        <v>2015</v>
      </c>
      <c r="E25" s="171">
        <v>0</v>
      </c>
      <c r="F25" s="172">
        <v>0</v>
      </c>
      <c r="G25" s="172">
        <v>0</v>
      </c>
      <c r="H25" s="173"/>
      <c r="I25" s="171">
        <v>118024.97928187507</v>
      </c>
      <c r="J25" s="168">
        <v>1021202.3417662248</v>
      </c>
      <c r="K25" s="168">
        <v>1094291.3355095875</v>
      </c>
      <c r="L25" s="171">
        <v>-73088.99374336272</v>
      </c>
      <c r="M25" s="171"/>
      <c r="N25" s="172">
        <v>0</v>
      </c>
      <c r="O25" s="172">
        <v>0</v>
      </c>
      <c r="P25" s="172"/>
      <c r="Q25" s="174">
        <v>10095.787715555385</v>
      </c>
      <c r="R25" s="175">
        <v>49114.130883042388</v>
      </c>
      <c r="S25" s="175"/>
      <c r="T25" s="185">
        <v>49114.130883042388</v>
      </c>
      <c r="V25" s="170">
        <v>44935.985538512352</v>
      </c>
      <c r="W25" s="131" t="s">
        <v>978</v>
      </c>
    </row>
    <row r="26" spans="1:23">
      <c r="A26" s="176" t="s">
        <v>979</v>
      </c>
      <c r="B26" s="138" t="s">
        <v>970</v>
      </c>
      <c r="C26" s="163" t="s">
        <v>997</v>
      </c>
      <c r="D26" s="164">
        <v>2013</v>
      </c>
      <c r="E26" s="171">
        <v>0</v>
      </c>
      <c r="F26" s="172">
        <v>0</v>
      </c>
      <c r="G26" s="172">
        <v>0</v>
      </c>
      <c r="H26" s="173"/>
      <c r="I26" s="171">
        <v>113895.63682835025</v>
      </c>
      <c r="J26" s="168">
        <v>855369.70953034854</v>
      </c>
      <c r="K26" s="168">
        <v>916589.81135659118</v>
      </c>
      <c r="L26" s="171">
        <v>-61220.101826242637</v>
      </c>
      <c r="M26" s="171"/>
      <c r="N26" s="172">
        <v>0</v>
      </c>
      <c r="O26" s="172">
        <v>0</v>
      </c>
      <c r="P26" s="172"/>
      <c r="Q26" s="174">
        <v>11834.635711479081</v>
      </c>
      <c r="R26" s="175">
        <v>57573.303209529273</v>
      </c>
      <c r="S26" s="175"/>
      <c r="T26" s="185">
        <v>57573.303209529273</v>
      </c>
      <c r="V26" s="170">
        <v>52675.535002107616</v>
      </c>
      <c r="W26" s="131" t="s">
        <v>979</v>
      </c>
    </row>
    <row r="27" spans="1:23" ht="16.5" customHeight="1">
      <c r="A27" s="176" t="s">
        <v>980</v>
      </c>
      <c r="B27" s="138" t="s">
        <v>970</v>
      </c>
      <c r="C27" s="163" t="s">
        <v>998</v>
      </c>
      <c r="D27" s="164">
        <v>2014</v>
      </c>
      <c r="E27" s="171">
        <v>0</v>
      </c>
      <c r="F27" s="172">
        <v>0</v>
      </c>
      <c r="G27" s="172">
        <v>0</v>
      </c>
      <c r="H27" s="173"/>
      <c r="I27" s="171">
        <v>280952.43319499027</v>
      </c>
      <c r="J27" s="168">
        <v>2402611.677397497</v>
      </c>
      <c r="K27" s="168">
        <v>2574570.2233927194</v>
      </c>
      <c r="L27" s="171">
        <v>-171958.5459952224</v>
      </c>
      <c r="M27" s="171"/>
      <c r="N27" s="172">
        <v>0</v>
      </c>
      <c r="O27" s="172">
        <v>0</v>
      </c>
      <c r="P27" s="172"/>
      <c r="Q27" s="174">
        <v>24487.70477102292</v>
      </c>
      <c r="R27" s="175">
        <v>119128.13254742244</v>
      </c>
      <c r="S27" s="175"/>
      <c r="T27" s="185">
        <v>119128.13254742244</v>
      </c>
      <c r="V27" s="170">
        <v>108993.88719976787</v>
      </c>
      <c r="W27" s="131" t="s">
        <v>980</v>
      </c>
    </row>
    <row r="28" spans="1:23" ht="17.25" customHeight="1">
      <c r="A28" s="176" t="s">
        <v>981</v>
      </c>
      <c r="B28" s="138" t="s">
        <v>970</v>
      </c>
      <c r="C28" s="163" t="s">
        <v>999</v>
      </c>
      <c r="D28" s="164">
        <v>2014</v>
      </c>
      <c r="E28" s="171">
        <v>0</v>
      </c>
      <c r="F28" s="172">
        <v>0</v>
      </c>
      <c r="G28" s="172">
        <v>0</v>
      </c>
      <c r="H28" s="173"/>
      <c r="I28" s="171">
        <v>212415.52769472357</v>
      </c>
      <c r="J28" s="168">
        <v>1611628.4596014421</v>
      </c>
      <c r="K28" s="168">
        <v>1726975.1422154941</v>
      </c>
      <c r="L28" s="171">
        <v>-115346.68261405197</v>
      </c>
      <c r="M28" s="171"/>
      <c r="N28" s="172">
        <v>0</v>
      </c>
      <c r="O28" s="172">
        <v>0</v>
      </c>
      <c r="P28" s="172"/>
      <c r="Q28" s="174">
        <v>21808.500291791675</v>
      </c>
      <c r="R28" s="175">
        <v>106094.30069964593</v>
      </c>
      <c r="S28" s="175"/>
      <c r="T28" s="185">
        <v>106094.30069964593</v>
      </c>
      <c r="V28" s="170">
        <v>97068.845080671599</v>
      </c>
      <c r="W28" s="131" t="s">
        <v>981</v>
      </c>
    </row>
    <row r="29" spans="1:23" ht="17.25" customHeight="1">
      <c r="A29" s="176" t="s">
        <v>982</v>
      </c>
      <c r="B29" s="138" t="s">
        <v>970</v>
      </c>
      <c r="C29" s="163" t="s">
        <v>1000</v>
      </c>
      <c r="D29" s="164">
        <v>2013</v>
      </c>
      <c r="E29" s="171">
        <v>0</v>
      </c>
      <c r="F29" s="172">
        <v>0</v>
      </c>
      <c r="G29" s="172">
        <v>0</v>
      </c>
      <c r="H29" s="173"/>
      <c r="I29" s="171">
        <v>0</v>
      </c>
      <c r="J29" s="168">
        <v>-64414.673348600714</v>
      </c>
      <c r="K29" s="168">
        <v>-69024.928794366628</v>
      </c>
      <c r="L29" s="171">
        <v>4610.2554457659135</v>
      </c>
      <c r="M29" s="171"/>
      <c r="N29" s="172">
        <v>0</v>
      </c>
      <c r="O29" s="172">
        <v>0</v>
      </c>
      <c r="P29" s="172"/>
      <c r="Q29" s="174">
        <v>1035.7881269799943</v>
      </c>
      <c r="R29" s="175">
        <v>5038.9167313031439</v>
      </c>
      <c r="S29" s="175"/>
      <c r="T29" s="185">
        <v>5038.9167313031439</v>
      </c>
      <c r="V29" s="170">
        <v>4610.2554457659135</v>
      </c>
      <c r="W29" s="131" t="s">
        <v>982</v>
      </c>
    </row>
    <row r="30" spans="1:23" ht="17.25" customHeight="1">
      <c r="A30" s="176" t="s">
        <v>983</v>
      </c>
      <c r="B30" s="138" t="s">
        <v>970</v>
      </c>
      <c r="C30" s="163" t="s">
        <v>1001</v>
      </c>
      <c r="D30" s="164">
        <v>2016</v>
      </c>
      <c r="E30" s="171">
        <v>0</v>
      </c>
      <c r="F30" s="172">
        <v>0</v>
      </c>
      <c r="G30" s="172">
        <v>0</v>
      </c>
      <c r="H30" s="173"/>
      <c r="I30" s="171">
        <v>779643.06082380377</v>
      </c>
      <c r="J30" s="168">
        <v>8245712.7202383028</v>
      </c>
      <c r="K30" s="168">
        <v>8835870.8316824194</v>
      </c>
      <c r="L30" s="171">
        <v>-590158.11144411657</v>
      </c>
      <c r="M30" s="171"/>
      <c r="N30" s="172">
        <v>0</v>
      </c>
      <c r="O30" s="172">
        <v>0</v>
      </c>
      <c r="P30" s="172"/>
      <c r="Q30" s="174">
        <v>42571.667257426561</v>
      </c>
      <c r="R30" s="175">
        <v>207103.24904801711</v>
      </c>
      <c r="S30" s="175"/>
      <c r="T30" s="185">
        <v>207103.24904801711</v>
      </c>
      <c r="V30" s="170">
        <v>189484.9493796872</v>
      </c>
      <c r="W30" s="131" t="s">
        <v>983</v>
      </c>
    </row>
    <row r="31" spans="1:23" ht="17.25" customHeight="1">
      <c r="A31" s="176" t="s">
        <v>984</v>
      </c>
      <c r="B31" s="138" t="s">
        <v>970</v>
      </c>
      <c r="C31" s="163" t="s">
        <v>1002</v>
      </c>
      <c r="D31" s="164">
        <v>2017</v>
      </c>
      <c r="E31" s="171">
        <v>0</v>
      </c>
      <c r="F31" s="172">
        <v>0</v>
      </c>
      <c r="G31" s="172">
        <v>0</v>
      </c>
      <c r="H31" s="173"/>
      <c r="I31" s="171">
        <v>156127.24734013248</v>
      </c>
      <c r="J31" s="168">
        <v>1366710.2412625544</v>
      </c>
      <c r="K31" s="168">
        <v>1464527.7571329754</v>
      </c>
      <c r="L31" s="171">
        <v>-97817.515870420961</v>
      </c>
      <c r="M31" s="171"/>
      <c r="N31" s="172">
        <v>0</v>
      </c>
      <c r="O31" s="172">
        <v>0</v>
      </c>
      <c r="P31" s="172"/>
      <c r="Q31" s="174">
        <v>13100.473120027975</v>
      </c>
      <c r="R31" s="175">
        <v>63731.366939844294</v>
      </c>
      <c r="S31" s="175"/>
      <c r="T31" s="185">
        <v>63731.366939844294</v>
      </c>
      <c r="V31" s="170">
        <v>58309.731469711522</v>
      </c>
      <c r="W31" s="131" t="s">
        <v>984</v>
      </c>
    </row>
    <row r="32" spans="1:23" ht="17.25" customHeight="1">
      <c r="A32" s="176" t="s">
        <v>985</v>
      </c>
      <c r="B32" s="138" t="s">
        <v>970</v>
      </c>
      <c r="C32" s="163" t="s">
        <v>1003</v>
      </c>
      <c r="D32" s="164">
        <v>2017</v>
      </c>
      <c r="E32" s="171">
        <v>0</v>
      </c>
      <c r="F32" s="172">
        <v>0</v>
      </c>
      <c r="G32" s="172">
        <v>0</v>
      </c>
      <c r="H32" s="173"/>
      <c r="I32" s="171">
        <v>134787.71323278337</v>
      </c>
      <c r="J32" s="168">
        <v>1192289.61548864</v>
      </c>
      <c r="K32" s="168">
        <v>1277623.5837754798</v>
      </c>
      <c r="L32" s="171">
        <v>-85333.968286839779</v>
      </c>
      <c r="M32" s="171"/>
      <c r="N32" s="172">
        <v>0</v>
      </c>
      <c r="O32" s="172">
        <v>0</v>
      </c>
      <c r="P32" s="172"/>
      <c r="Q32" s="174">
        <v>11110.794716754652</v>
      </c>
      <c r="R32" s="175">
        <v>54051.951299699474</v>
      </c>
      <c r="S32" s="175"/>
      <c r="T32" s="185">
        <v>54051.951299699474</v>
      </c>
      <c r="V32" s="170">
        <v>49453.744945943588</v>
      </c>
      <c r="W32" s="131" t="s">
        <v>985</v>
      </c>
    </row>
    <row r="33" spans="1:23" ht="17.25" customHeight="1">
      <c r="A33" s="176" t="s">
        <v>986</v>
      </c>
      <c r="B33" s="138" t="s">
        <v>970</v>
      </c>
      <c r="C33" s="163" t="s">
        <v>1004</v>
      </c>
      <c r="D33" s="164">
        <v>2017</v>
      </c>
      <c r="E33" s="171">
        <v>0</v>
      </c>
      <c r="F33" s="172">
        <v>0</v>
      </c>
      <c r="G33" s="172">
        <v>0</v>
      </c>
      <c r="H33" s="173"/>
      <c r="I33" s="171">
        <v>1337400.8594174758</v>
      </c>
      <c r="J33" s="168">
        <v>10841908.347550876</v>
      </c>
      <c r="K33" s="168">
        <v>11617880.100621594</v>
      </c>
      <c r="L33" s="171">
        <v>-775971.75307071768</v>
      </c>
      <c r="M33" s="171"/>
      <c r="N33" s="172">
        <v>0</v>
      </c>
      <c r="O33" s="172">
        <v>0</v>
      </c>
      <c r="P33" s="172"/>
      <c r="Q33" s="174">
        <v>126136.52526109669</v>
      </c>
      <c r="R33" s="175">
        <v>613630.75228497747</v>
      </c>
      <c r="S33" s="175"/>
      <c r="T33" s="185">
        <v>613630.75228497747</v>
      </c>
      <c r="V33" s="170">
        <v>561429.10634675808</v>
      </c>
      <c r="W33" s="131" t="s">
        <v>986</v>
      </c>
    </row>
    <row r="34" spans="1:23" ht="17.25" customHeight="1">
      <c r="A34" s="176" t="s">
        <v>987</v>
      </c>
      <c r="B34" s="138" t="s">
        <v>970</v>
      </c>
      <c r="C34" s="163" t="s">
        <v>1007</v>
      </c>
      <c r="D34" s="164">
        <v>2018</v>
      </c>
      <c r="E34" s="171">
        <v>0</v>
      </c>
      <c r="F34" s="172">
        <v>0</v>
      </c>
      <c r="G34" s="172">
        <v>0</v>
      </c>
      <c r="H34" s="173"/>
      <c r="I34" s="171">
        <v>150788.41923497804</v>
      </c>
      <c r="J34" s="174">
        <v>2379936.447468813</v>
      </c>
      <c r="K34" s="168">
        <v>2550272.0930156084</v>
      </c>
      <c r="L34" s="171">
        <v>-170335.64554679533</v>
      </c>
      <c r="M34" s="171"/>
      <c r="N34" s="172">
        <v>0</v>
      </c>
      <c r="O34" s="172">
        <v>0</v>
      </c>
      <c r="P34" s="172"/>
      <c r="Q34" s="174">
        <v>-4391.6839679168052</v>
      </c>
      <c r="R34" s="175">
        <v>-21364.726287270121</v>
      </c>
      <c r="S34" s="175"/>
      <c r="T34" s="185">
        <v>-21364.726287270121</v>
      </c>
      <c r="V34" s="170">
        <v>-19547.2263118173</v>
      </c>
      <c r="W34" s="131" t="s">
        <v>987</v>
      </c>
    </row>
    <row r="35" spans="1:23" ht="17.25" customHeight="1">
      <c r="A35" s="176" t="s">
        <v>1006</v>
      </c>
      <c r="B35" s="138" t="s">
        <v>970</v>
      </c>
      <c r="C35" s="163" t="s">
        <v>1005</v>
      </c>
      <c r="D35" s="164">
        <v>2018</v>
      </c>
      <c r="E35" s="171"/>
      <c r="F35" s="172"/>
      <c r="G35" s="172"/>
      <c r="H35" s="173"/>
      <c r="I35" s="171">
        <v>115521.01572932722</v>
      </c>
      <c r="J35" s="174">
        <v>1275484.2917490406</v>
      </c>
      <c r="K35" s="168">
        <v>1366772.6286501952</v>
      </c>
      <c r="L35" s="177">
        <v>-91288.336901154602</v>
      </c>
      <c r="M35" s="178"/>
      <c r="N35" s="178">
        <v>0</v>
      </c>
      <c r="O35" s="178">
        <v>0</v>
      </c>
      <c r="P35" s="177"/>
      <c r="Q35" s="174">
        <v>5444.3666539546311</v>
      </c>
      <c r="R35" s="175">
        <v>26485.831908450491</v>
      </c>
      <c r="S35" s="175"/>
      <c r="T35" s="185">
        <v>26485.831908450491</v>
      </c>
      <c r="V35" s="170">
        <v>24232.678828172619</v>
      </c>
      <c r="W35" s="131" t="s">
        <v>1006</v>
      </c>
    </row>
    <row r="36" spans="1:23" ht="17.25" customHeight="1">
      <c r="A36" s="176" t="s">
        <v>1025</v>
      </c>
      <c r="B36" s="138" t="s">
        <v>970</v>
      </c>
      <c r="C36" s="163" t="s">
        <v>1026</v>
      </c>
      <c r="D36" s="164">
        <v>2020</v>
      </c>
      <c r="E36" s="177"/>
      <c r="F36" s="178"/>
      <c r="G36" s="178"/>
      <c r="H36" s="173"/>
      <c r="I36" s="177">
        <v>74624.946643717645</v>
      </c>
      <c r="J36" s="174">
        <v>478313.21621882363</v>
      </c>
      <c r="K36" s="168">
        <v>512546.8154163353</v>
      </c>
      <c r="L36" s="177">
        <v>-34233.599197511678</v>
      </c>
      <c r="M36" s="178"/>
      <c r="N36" s="178">
        <v>0</v>
      </c>
      <c r="O36" s="178">
        <v>0</v>
      </c>
      <c r="P36" s="177"/>
      <c r="Q36" s="174">
        <v>9074.7418683550623</v>
      </c>
      <c r="R36" s="183">
        <v>44146.932602940193</v>
      </c>
      <c r="S36" s="184"/>
      <c r="T36" s="185">
        <v>44146.932602940193</v>
      </c>
      <c r="V36" s="186">
        <v>40391.347446205968</v>
      </c>
      <c r="W36" s="131" t="s">
        <v>1025</v>
      </c>
    </row>
    <row r="37" spans="1:23" ht="17.25" customHeight="1">
      <c r="A37" s="176" t="s">
        <v>1278</v>
      </c>
      <c r="B37" s="138" t="s">
        <v>970</v>
      </c>
      <c r="C37" s="163" t="s">
        <v>1279</v>
      </c>
      <c r="D37" s="164">
        <v>2020</v>
      </c>
      <c r="E37" s="177"/>
      <c r="F37" s="178"/>
      <c r="G37" s="178"/>
      <c r="H37" s="173"/>
      <c r="I37" s="177">
        <v>0</v>
      </c>
      <c r="J37" s="174">
        <v>131587.24825136422</v>
      </c>
      <c r="K37" s="168">
        <v>141005.14632190348</v>
      </c>
      <c r="L37" s="177">
        <v>-9417.8980705392605</v>
      </c>
      <c r="M37" s="178"/>
      <c r="N37" s="178">
        <v>0</v>
      </c>
      <c r="O37" s="178">
        <v>0</v>
      </c>
      <c r="P37" s="177"/>
      <c r="Q37" s="174">
        <v>-2115.9233186376619</v>
      </c>
      <c r="R37" s="183">
        <v>-10293.573690137226</v>
      </c>
      <c r="S37" s="184"/>
      <c r="T37" s="185">
        <v>-10293.573690137226</v>
      </c>
      <c r="V37" s="186">
        <v>-9417.8980705392605</v>
      </c>
      <c r="W37" s="131" t="s">
        <v>1278</v>
      </c>
    </row>
    <row r="38" spans="1:23" ht="17.25" customHeight="1">
      <c r="A38" s="176" t="s">
        <v>1280</v>
      </c>
      <c r="B38" s="138" t="s">
        <v>970</v>
      </c>
      <c r="C38" s="163" t="s">
        <v>1281</v>
      </c>
      <c r="D38" s="164">
        <v>2020</v>
      </c>
      <c r="E38" s="177"/>
      <c r="F38" s="178"/>
      <c r="G38" s="178"/>
      <c r="H38" s="173"/>
      <c r="I38" s="177">
        <v>0</v>
      </c>
      <c r="J38" s="174">
        <v>375963.61969540955</v>
      </c>
      <c r="K38" s="168">
        <v>402871.90370905935</v>
      </c>
      <c r="L38" s="177">
        <v>-26908.284013649798</v>
      </c>
      <c r="M38" s="178"/>
      <c r="N38" s="178">
        <v>0</v>
      </c>
      <c r="O38" s="178">
        <v>0</v>
      </c>
      <c r="P38" s="177"/>
      <c r="Q38" s="174">
        <v>-6045.4960525758288</v>
      </c>
      <c r="R38" s="183">
        <v>-29410.214709807951</v>
      </c>
      <c r="S38" s="184"/>
      <c r="T38" s="185">
        <v>-29410.214709807951</v>
      </c>
      <c r="V38" s="186">
        <v>-26908.284013649798</v>
      </c>
      <c r="W38" s="131" t="s">
        <v>1280</v>
      </c>
    </row>
    <row r="39" spans="1:23">
      <c r="A39" s="187"/>
      <c r="B39" s="188"/>
      <c r="C39" s="188"/>
      <c r="D39" s="180"/>
      <c r="E39" s="189"/>
      <c r="F39" s="189"/>
      <c r="G39" s="189"/>
      <c r="H39" s="183"/>
      <c r="I39" s="190"/>
      <c r="J39" s="190"/>
      <c r="K39" s="189"/>
      <c r="L39" s="189"/>
      <c r="M39" s="189"/>
      <c r="N39" s="189"/>
      <c r="O39" s="189"/>
      <c r="P39" s="189"/>
      <c r="Q39" s="189"/>
      <c r="R39" s="189"/>
      <c r="S39" s="183"/>
      <c r="T39" s="191"/>
      <c r="V39" s="192"/>
    </row>
    <row r="40" spans="1:23" ht="13.5" thickBot="1">
      <c r="A40" s="193"/>
      <c r="B40" s="194"/>
      <c r="C40" s="195" t="s">
        <v>940</v>
      </c>
      <c r="D40" s="196"/>
      <c r="E40" s="197">
        <f>SUM(E17:E39)</f>
        <v>0</v>
      </c>
      <c r="F40" s="197">
        <f>SUM(F17:F39)</f>
        <v>0</v>
      </c>
      <c r="G40" s="197">
        <f>SUM(G17:G39)</f>
        <v>0</v>
      </c>
      <c r="H40" s="197"/>
      <c r="I40" s="198">
        <f>SUM(I17:I39)</f>
        <v>4325417.304582512</v>
      </c>
      <c r="J40" s="198">
        <f>SUM(J17:J39)</f>
        <v>38399506.016356558</v>
      </c>
      <c r="K40" s="197">
        <f>SUM(K17:K39)</f>
        <v>41147816.650000013</v>
      </c>
      <c r="L40" s="197"/>
      <c r="M40" s="197">
        <f>SUM(M17:M39)</f>
        <v>0</v>
      </c>
      <c r="N40" s="197">
        <f>SUM(N17:N39)</f>
        <v>0</v>
      </c>
      <c r="O40" s="197">
        <f>SUM(O17:O39)</f>
        <v>0</v>
      </c>
      <c r="P40" s="197">
        <f>SUM(P17:P39)</f>
        <v>0</v>
      </c>
      <c r="Q40" s="199">
        <f>-'OKT WS N Sch 11 TU'!P64</f>
        <v>216226.02357814554</v>
      </c>
      <c r="R40" s="197">
        <f>SUM(R17:R39)</f>
        <v>1723745.9582729049</v>
      </c>
      <c r="S40" s="197"/>
      <c r="T40" s="200">
        <f>SUM(T17:T39)</f>
        <v>1723745.9582729049</v>
      </c>
      <c r="V40" s="201">
        <f>SUM(V17:V39)</f>
        <v>1577106.6709390623</v>
      </c>
      <c r="W40" s="202"/>
    </row>
    <row r="41" spans="1:23" ht="13.5" thickBot="1">
      <c r="A41" s="141"/>
      <c r="B41" s="141"/>
      <c r="C41" s="203"/>
      <c r="D41" s="141"/>
      <c r="E41" s="204"/>
      <c r="F41" s="205"/>
      <c r="G41" s="205"/>
      <c r="H41" s="141"/>
      <c r="I41" s="206"/>
      <c r="J41" s="207"/>
      <c r="K41" s="208"/>
      <c r="L41" s="208"/>
      <c r="M41" s="208"/>
      <c r="N41" s="208"/>
      <c r="O41" s="208"/>
      <c r="P41" s="208"/>
      <c r="Q41" s="209"/>
      <c r="R41" s="205"/>
      <c r="S41" s="205"/>
      <c r="T41" s="205"/>
      <c r="V41" s="210"/>
      <c r="W41" s="202"/>
    </row>
    <row r="42" spans="1:23">
      <c r="A42" s="141"/>
      <c r="B42" s="141"/>
      <c r="C42" s="211" t="s">
        <v>662</v>
      </c>
      <c r="D42" s="141"/>
      <c r="E42" s="205"/>
      <c r="F42" s="205"/>
      <c r="G42" s="205"/>
      <c r="H42" s="141"/>
      <c r="I42" s="212"/>
      <c r="J42" s="213"/>
      <c r="K42" s="141"/>
      <c r="L42" s="141"/>
      <c r="M42" s="208"/>
      <c r="N42" s="208"/>
      <c r="O42" s="208"/>
      <c r="P42" s="208"/>
      <c r="Q42" s="208"/>
      <c r="R42" s="205"/>
      <c r="S42" s="205"/>
      <c r="T42" s="205"/>
    </row>
    <row r="43" spans="1:23">
      <c r="A43" s="141"/>
      <c r="B43" s="141"/>
      <c r="C43" s="211"/>
      <c r="D43" s="141"/>
      <c r="E43" s="205"/>
      <c r="F43" s="205"/>
      <c r="G43" s="205"/>
      <c r="H43" s="141"/>
      <c r="I43" s="214"/>
      <c r="J43" s="215"/>
      <c r="K43" s="141"/>
      <c r="L43" s="141"/>
      <c r="M43" s="208"/>
      <c r="N43" s="208"/>
      <c r="O43" s="208"/>
      <c r="P43" s="208"/>
      <c r="Q43" s="216"/>
      <c r="R43" s="208"/>
      <c r="S43" s="141"/>
      <c r="T43" s="141"/>
    </row>
    <row r="44" spans="1:23">
      <c r="E44" s="217"/>
      <c r="F44" s="217"/>
      <c r="G44" s="217"/>
      <c r="I44" s="137"/>
      <c r="J44" s="218"/>
      <c r="M44" s="219"/>
      <c r="N44" s="219"/>
      <c r="O44" s="219"/>
      <c r="P44" s="219"/>
      <c r="Q44" s="219"/>
      <c r="R44" s="219"/>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Oklahoma Transmission Company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
  <sheetViews>
    <sheetView zoomScale="70" zoomScaleNormal="70" zoomScaleSheetLayoutView="84" zoomScalePageLayoutView="80" workbookViewId="0">
      <selection activeCell="I32" sqref="I32"/>
    </sheetView>
  </sheetViews>
  <sheetFormatPr defaultColWidth="8.7109375" defaultRowHeight="12.75" customHeight="1"/>
  <cols>
    <col min="1" max="1" width="7.42578125" style="131" customWidth="1"/>
    <col min="2" max="2" width="9" style="131" customWidth="1"/>
    <col min="3" max="3" width="45.7109375" style="131" customWidth="1"/>
    <col min="4" max="4" width="9.28515625" style="131" customWidth="1"/>
    <col min="5" max="5" width="13.28515625" style="131" customWidth="1"/>
    <col min="6" max="6" width="11.5703125" style="131" customWidth="1"/>
    <col min="7" max="7" width="12.7109375" style="131" customWidth="1"/>
    <col min="8" max="8" width="3.28515625" style="131" customWidth="1"/>
    <col min="9" max="10" width="14.7109375" style="131" customWidth="1"/>
    <col min="11" max="11" width="15.28515625" style="131" customWidth="1"/>
    <col min="12" max="12" width="2.42578125" style="131" customWidth="1"/>
    <col min="13" max="13" width="10.42578125" style="131" customWidth="1"/>
    <col min="14" max="14" width="14.28515625" style="131" customWidth="1"/>
    <col min="15" max="16" width="14.42578125" style="131" customWidth="1"/>
    <col min="17" max="17" width="11.28515625" style="131" bestFit="1" customWidth="1"/>
    <col min="18" max="18" width="21.42578125" style="131" customWidth="1"/>
    <col min="19" max="19" width="2.42578125" style="131" customWidth="1"/>
    <col min="20" max="20" width="17.42578125" style="131" customWidth="1"/>
    <col min="21" max="21" width="8.7109375" style="131"/>
    <col min="22" max="22" width="16.7109375" style="131" customWidth="1"/>
    <col min="23" max="16384" width="8.7109375" style="131"/>
  </cols>
  <sheetData>
    <row r="1" spans="1:23" ht="12.75" customHeight="1">
      <c r="A1" s="130"/>
    </row>
    <row r="2" spans="1:23" ht="15">
      <c r="H2" s="132" t="s">
        <v>665</v>
      </c>
      <c r="U2" s="131">
        <f>+'OKT TCOS'!N2</f>
        <v>2022</v>
      </c>
    </row>
    <row r="3" spans="1:23" ht="15">
      <c r="H3" s="133" t="s">
        <v>664</v>
      </c>
    </row>
    <row r="4" spans="1:23" ht="15">
      <c r="H4" s="58" t="str">
        <f>+'OKT Sch 11 Rates'!H4</f>
        <v>For True Up Year 2022</v>
      </c>
    </row>
    <row r="5" spans="1:23" ht="15">
      <c r="H5" s="53"/>
    </row>
    <row r="6" spans="1:23" ht="15.75">
      <c r="H6" s="134" t="s">
        <v>550</v>
      </c>
    </row>
    <row r="8" spans="1:23" ht="18">
      <c r="C8" s="135"/>
      <c r="E8" s="135"/>
      <c r="F8" s="135"/>
      <c r="G8" s="135"/>
      <c r="H8" s="136" t="str">
        <f>+'SWT TCOS'!F8</f>
        <v>AEP SOUTHWESTERN TRANSMISSION COMPANY</v>
      </c>
      <c r="I8" s="135"/>
      <c r="J8" s="135"/>
      <c r="K8" s="135"/>
    </row>
    <row r="9" spans="1:23">
      <c r="D9" s="137"/>
    </row>
    <row r="10" spans="1:23">
      <c r="A10" s="131" t="s">
        <v>668</v>
      </c>
    </row>
    <row r="13" spans="1:23" ht="24.75" customHeight="1" thickBot="1">
      <c r="A13" s="138" t="s">
        <v>298</v>
      </c>
      <c r="B13" s="138" t="s">
        <v>299</v>
      </c>
      <c r="C13" s="139" t="s">
        <v>47</v>
      </c>
      <c r="D13" s="138" t="s">
        <v>301</v>
      </c>
      <c r="E13" s="138" t="s">
        <v>226</v>
      </c>
      <c r="F13" s="138" t="s">
        <v>227</v>
      </c>
      <c r="G13" s="138" t="str">
        <f>"(G) = "&amp;E13&amp;" + "&amp;F13</f>
        <v>(G) = (E) + (F)</v>
      </c>
      <c r="H13" s="138"/>
      <c r="I13" s="138" t="s">
        <v>233</v>
      </c>
      <c r="J13" s="138" t="s">
        <v>174</v>
      </c>
      <c r="K13" s="138" t="str">
        <f>"(J) = "&amp;I13&amp;" - "&amp;J13</f>
        <v>(J) = (H) - (I)</v>
      </c>
      <c r="L13" s="138"/>
      <c r="M13" s="138" t="s">
        <v>828</v>
      </c>
      <c r="N13" s="138" t="s">
        <v>551</v>
      </c>
      <c r="O13" s="138" t="str">
        <f>"(M) = "&amp;M13&amp;"-"&amp;N13</f>
        <v>(M) = (K)-(L)</v>
      </c>
      <c r="P13" s="138" t="s">
        <v>829</v>
      </c>
      <c r="Q13" s="138" t="s">
        <v>553</v>
      </c>
      <c r="R13" s="138" t="str">
        <f>"(P) = "&amp;LEFT(K13,3)&amp;"+ "&amp;LEFT(P13,3)&amp;"+"&amp;LEFT(O13,3)&amp;"+"&amp;Q13</f>
        <v>(P) = (J)+ (N)+(M)+(O)</v>
      </c>
      <c r="S13" s="138"/>
      <c r="T13" s="138" t="str">
        <f>"(Q) = "&amp;LEFT(G13,3)&amp;" + "&amp;LEFT(R13,3)</f>
        <v>(Q) = (G) + (P)</v>
      </c>
      <c r="U13" s="138"/>
      <c r="V13" s="141"/>
      <c r="W13" s="141"/>
    </row>
    <row r="14" spans="1:23" ht="16.5" customHeight="1" thickBot="1">
      <c r="A14" s="142"/>
      <c r="B14" s="143"/>
      <c r="C14" s="143"/>
      <c r="D14" s="143"/>
      <c r="E14" s="2168" t="str">
        <f>"Projected ARR For "&amp;U2&amp;" From WS-F"</f>
        <v>Projected ARR For 2022 From WS-F</v>
      </c>
      <c r="F14" s="2168"/>
      <c r="G14" s="2168"/>
      <c r="H14" s="143"/>
      <c r="I14" s="2168" t="str">
        <f>"True Up ARR For "&amp;U2-2&amp;" From WS-G"</f>
        <v>True Up ARR For 2020 From WS-G</v>
      </c>
      <c r="J14" s="2168"/>
      <c r="K14" s="2168"/>
      <c r="L14" s="144"/>
      <c r="M14" s="144" t="s">
        <v>555</v>
      </c>
      <c r="N14" s="145"/>
      <c r="O14" s="145"/>
      <c r="P14" s="146"/>
      <c r="Q14" s="147"/>
      <c r="R14" s="148"/>
      <c r="S14" s="143"/>
      <c r="T14" s="149"/>
      <c r="U14" s="150"/>
    </row>
    <row r="15" spans="1:23" ht="76.900000000000006" customHeight="1" thickBot="1">
      <c r="A15" s="151" t="s">
        <v>556</v>
      </c>
      <c r="B15" s="152" t="s">
        <v>557</v>
      </c>
      <c r="C15" s="152" t="s">
        <v>558</v>
      </c>
      <c r="D15" s="152" t="s">
        <v>559</v>
      </c>
      <c r="E15" s="152" t="s">
        <v>554</v>
      </c>
      <c r="F15" s="152" t="s">
        <v>560</v>
      </c>
      <c r="G15" s="152" t="s">
        <v>255</v>
      </c>
      <c r="H15" s="152"/>
      <c r="I15" s="152" t="s">
        <v>901</v>
      </c>
      <c r="J15" s="152" t="s">
        <v>902</v>
      </c>
      <c r="K15" s="152" t="s">
        <v>899</v>
      </c>
      <c r="L15" s="152"/>
      <c r="M15" s="152" t="s">
        <v>561</v>
      </c>
      <c r="N15" s="152" t="s">
        <v>903</v>
      </c>
      <c r="O15" s="152" t="s">
        <v>899</v>
      </c>
      <c r="P15" s="152" t="s">
        <v>911</v>
      </c>
      <c r="Q15" s="152" t="s">
        <v>900</v>
      </c>
      <c r="R15" s="152" t="s">
        <v>912</v>
      </c>
      <c r="S15" s="153"/>
      <c r="T15" s="154" t="str">
        <f>"Total ADJUSTED Revenue Requirement Effective
1/1/"&amp;U2&amp;""</f>
        <v>Total ADJUSTED Revenue Requirement Effective
1/1/2022</v>
      </c>
      <c r="V15" s="155" t="s">
        <v>663</v>
      </c>
    </row>
    <row r="16" spans="1:23">
      <c r="A16" s="156"/>
      <c r="B16" s="157"/>
      <c r="C16" s="157"/>
      <c r="D16" s="158"/>
      <c r="E16" s="159"/>
      <c r="F16" s="159"/>
      <c r="G16" s="159"/>
      <c r="H16" s="158"/>
      <c r="I16" s="159"/>
      <c r="J16" s="159"/>
      <c r="K16" s="159"/>
      <c r="L16" s="159"/>
      <c r="M16" s="159"/>
      <c r="N16" s="159"/>
      <c r="O16" s="159"/>
      <c r="P16" s="159"/>
      <c r="Q16" s="159"/>
      <c r="R16" s="159"/>
      <c r="S16" s="158"/>
      <c r="T16" s="160"/>
      <c r="V16" s="161"/>
    </row>
    <row r="17" spans="1:23">
      <c r="A17" s="220"/>
      <c r="B17" s="180"/>
      <c r="C17" s="221"/>
      <c r="D17" s="182"/>
      <c r="E17" s="177"/>
      <c r="F17" s="178"/>
      <c r="G17" s="178">
        <f t="shared" ref="G17:G33" si="0">+E17+F17</f>
        <v>0</v>
      </c>
      <c r="H17" s="173"/>
      <c r="I17" s="177"/>
      <c r="J17" s="177"/>
      <c r="K17" s="177">
        <f t="shared" ref="K17:K33" si="1">+I17-J17</f>
        <v>0</v>
      </c>
      <c r="L17" s="177"/>
      <c r="M17" s="178">
        <v>0</v>
      </c>
      <c r="N17" s="178">
        <v>0</v>
      </c>
      <c r="O17" s="178">
        <f t="shared" ref="O17:O33" si="2">+M17-N17</f>
        <v>0</v>
      </c>
      <c r="P17" s="177"/>
      <c r="Q17" s="177"/>
      <c r="R17" s="183">
        <f>K17+O17+P17+Q17</f>
        <v>0</v>
      </c>
      <c r="S17" s="183"/>
      <c r="T17" s="222">
        <f>+G17+R17</f>
        <v>0</v>
      </c>
      <c r="V17" s="186">
        <f>+K17+O17+P17</f>
        <v>0</v>
      </c>
      <c r="W17" s="131">
        <f t="shared" ref="W17:W33" si="3">A17</f>
        <v>0</v>
      </c>
    </row>
    <row r="18" spans="1:23">
      <c r="A18" s="220"/>
      <c r="B18" s="180"/>
      <c r="C18" s="221"/>
      <c r="D18" s="182"/>
      <c r="E18" s="177"/>
      <c r="F18" s="178"/>
      <c r="G18" s="178">
        <f t="shared" si="0"/>
        <v>0</v>
      </c>
      <c r="H18" s="173"/>
      <c r="I18" s="177"/>
      <c r="J18" s="177"/>
      <c r="K18" s="177">
        <f t="shared" si="1"/>
        <v>0</v>
      </c>
      <c r="L18" s="177"/>
      <c r="M18" s="178">
        <v>0</v>
      </c>
      <c r="N18" s="178">
        <v>0</v>
      </c>
      <c r="O18" s="178">
        <f t="shared" si="2"/>
        <v>0</v>
      </c>
      <c r="P18" s="177"/>
      <c r="Q18" s="177"/>
      <c r="R18" s="183">
        <f t="shared" ref="R18:R33" si="4">K18+O18+P18+Q18</f>
        <v>0</v>
      </c>
      <c r="S18" s="183"/>
      <c r="T18" s="185">
        <f t="shared" ref="T18:T33" si="5">+G18+R18</f>
        <v>0</v>
      </c>
      <c r="V18" s="186">
        <f t="shared" ref="V18:V33" si="6">+K18+O18+P18</f>
        <v>0</v>
      </c>
      <c r="W18" s="131">
        <f t="shared" si="3"/>
        <v>0</v>
      </c>
    </row>
    <row r="19" spans="1:23">
      <c r="A19" s="220"/>
      <c r="B19" s="180"/>
      <c r="C19" s="181"/>
      <c r="D19" s="182"/>
      <c r="E19" s="177"/>
      <c r="F19" s="178"/>
      <c r="G19" s="178">
        <f t="shared" si="0"/>
        <v>0</v>
      </c>
      <c r="H19" s="173"/>
      <c r="I19" s="177"/>
      <c r="J19" s="177"/>
      <c r="K19" s="177">
        <f t="shared" si="1"/>
        <v>0</v>
      </c>
      <c r="L19" s="177"/>
      <c r="M19" s="178">
        <v>0</v>
      </c>
      <c r="N19" s="178">
        <v>0</v>
      </c>
      <c r="O19" s="178">
        <f t="shared" si="2"/>
        <v>0</v>
      </c>
      <c r="P19" s="177"/>
      <c r="Q19" s="177"/>
      <c r="R19" s="183">
        <f t="shared" si="4"/>
        <v>0</v>
      </c>
      <c r="S19" s="183"/>
      <c r="T19" s="185">
        <f t="shared" si="5"/>
        <v>0</v>
      </c>
      <c r="V19" s="186">
        <f t="shared" si="6"/>
        <v>0</v>
      </c>
      <c r="W19" s="131">
        <f t="shared" si="3"/>
        <v>0</v>
      </c>
    </row>
    <row r="20" spans="1:23">
      <c r="A20" s="220"/>
      <c r="B20" s="180"/>
      <c r="C20" s="181"/>
      <c r="D20" s="182"/>
      <c r="E20" s="177"/>
      <c r="F20" s="178"/>
      <c r="G20" s="178">
        <f t="shared" si="0"/>
        <v>0</v>
      </c>
      <c r="H20" s="173"/>
      <c r="I20" s="177"/>
      <c r="J20" s="177"/>
      <c r="K20" s="177">
        <f t="shared" si="1"/>
        <v>0</v>
      </c>
      <c r="L20" s="177"/>
      <c r="M20" s="178">
        <v>0</v>
      </c>
      <c r="N20" s="178">
        <v>0</v>
      </c>
      <c r="O20" s="178">
        <f t="shared" si="2"/>
        <v>0</v>
      </c>
      <c r="P20" s="177"/>
      <c r="Q20" s="177"/>
      <c r="R20" s="183">
        <f t="shared" si="4"/>
        <v>0</v>
      </c>
      <c r="S20" s="183"/>
      <c r="T20" s="185">
        <f t="shared" si="5"/>
        <v>0</v>
      </c>
      <c r="V20" s="186">
        <f t="shared" si="6"/>
        <v>0</v>
      </c>
      <c r="W20" s="131">
        <f t="shared" si="3"/>
        <v>0</v>
      </c>
    </row>
    <row r="21" spans="1:23">
      <c r="A21" s="220"/>
      <c r="B21" s="180"/>
      <c r="C21" s="181"/>
      <c r="D21" s="182"/>
      <c r="E21" s="177"/>
      <c r="F21" s="178"/>
      <c r="G21" s="178">
        <f t="shared" si="0"/>
        <v>0</v>
      </c>
      <c r="H21" s="173"/>
      <c r="I21" s="177"/>
      <c r="J21" s="177"/>
      <c r="K21" s="177">
        <f t="shared" si="1"/>
        <v>0</v>
      </c>
      <c r="L21" s="177"/>
      <c r="M21" s="178">
        <v>0</v>
      </c>
      <c r="N21" s="178">
        <v>0</v>
      </c>
      <c r="O21" s="178">
        <f t="shared" si="2"/>
        <v>0</v>
      </c>
      <c r="P21" s="177"/>
      <c r="Q21" s="177"/>
      <c r="R21" s="183">
        <f t="shared" si="4"/>
        <v>0</v>
      </c>
      <c r="S21" s="183"/>
      <c r="T21" s="185">
        <f t="shared" si="5"/>
        <v>0</v>
      </c>
      <c r="V21" s="186">
        <f t="shared" si="6"/>
        <v>0</v>
      </c>
      <c r="W21" s="131">
        <f t="shared" si="3"/>
        <v>0</v>
      </c>
    </row>
    <row r="22" spans="1:23">
      <c r="A22" s="220"/>
      <c r="B22" s="180"/>
      <c r="C22" s="181"/>
      <c r="D22" s="182"/>
      <c r="E22" s="177"/>
      <c r="F22" s="178"/>
      <c r="G22" s="178">
        <f t="shared" si="0"/>
        <v>0</v>
      </c>
      <c r="H22" s="173"/>
      <c r="I22" s="177"/>
      <c r="J22" s="177"/>
      <c r="K22" s="177">
        <f t="shared" si="1"/>
        <v>0</v>
      </c>
      <c r="L22" s="177"/>
      <c r="M22" s="178">
        <v>0</v>
      </c>
      <c r="N22" s="178">
        <v>0</v>
      </c>
      <c r="O22" s="178">
        <f t="shared" si="2"/>
        <v>0</v>
      </c>
      <c r="P22" s="177"/>
      <c r="Q22" s="177"/>
      <c r="R22" s="183">
        <f t="shared" si="4"/>
        <v>0</v>
      </c>
      <c r="S22" s="183"/>
      <c r="T22" s="185">
        <f t="shared" si="5"/>
        <v>0</v>
      </c>
      <c r="U22" s="223"/>
      <c r="V22" s="186">
        <f t="shared" si="6"/>
        <v>0</v>
      </c>
      <c r="W22" s="223">
        <f t="shared" si="3"/>
        <v>0</v>
      </c>
    </row>
    <row r="23" spans="1:23">
      <c r="A23" s="220"/>
      <c r="B23" s="180"/>
      <c r="C23" s="181"/>
      <c r="D23" s="182"/>
      <c r="E23" s="177"/>
      <c r="F23" s="178"/>
      <c r="G23" s="178">
        <f t="shared" si="0"/>
        <v>0</v>
      </c>
      <c r="H23" s="173"/>
      <c r="I23" s="177"/>
      <c r="J23" s="177"/>
      <c r="K23" s="177">
        <f t="shared" si="1"/>
        <v>0</v>
      </c>
      <c r="L23" s="177"/>
      <c r="M23" s="178">
        <v>0</v>
      </c>
      <c r="N23" s="178">
        <v>0</v>
      </c>
      <c r="O23" s="178">
        <f t="shared" si="2"/>
        <v>0</v>
      </c>
      <c r="P23" s="177"/>
      <c r="Q23" s="177"/>
      <c r="R23" s="183">
        <f t="shared" si="4"/>
        <v>0</v>
      </c>
      <c r="S23" s="184"/>
      <c r="T23" s="185">
        <f t="shared" si="5"/>
        <v>0</v>
      </c>
      <c r="V23" s="186">
        <f t="shared" si="6"/>
        <v>0</v>
      </c>
      <c r="W23" s="131">
        <f t="shared" si="3"/>
        <v>0</v>
      </c>
    </row>
    <row r="24" spans="1:23">
      <c r="A24" s="220"/>
      <c r="B24" s="180"/>
      <c r="C24" s="181"/>
      <c r="D24" s="182"/>
      <c r="E24" s="177"/>
      <c r="F24" s="178"/>
      <c r="G24" s="178">
        <f t="shared" si="0"/>
        <v>0</v>
      </c>
      <c r="H24" s="173"/>
      <c r="I24" s="177"/>
      <c r="J24" s="177"/>
      <c r="K24" s="177">
        <f t="shared" si="1"/>
        <v>0</v>
      </c>
      <c r="L24" s="177"/>
      <c r="M24" s="178">
        <v>0</v>
      </c>
      <c r="N24" s="178">
        <v>0</v>
      </c>
      <c r="O24" s="178">
        <f t="shared" si="2"/>
        <v>0</v>
      </c>
      <c r="P24" s="177"/>
      <c r="Q24" s="177"/>
      <c r="R24" s="183">
        <f t="shared" si="4"/>
        <v>0</v>
      </c>
      <c r="S24" s="183"/>
      <c r="T24" s="185">
        <f t="shared" si="5"/>
        <v>0</v>
      </c>
      <c r="V24" s="186">
        <f t="shared" si="6"/>
        <v>0</v>
      </c>
      <c r="W24" s="131">
        <f t="shared" si="3"/>
        <v>0</v>
      </c>
    </row>
    <row r="25" spans="1:23">
      <c r="A25" s="220"/>
      <c r="B25" s="180"/>
      <c r="C25" s="181"/>
      <c r="D25" s="182"/>
      <c r="E25" s="177"/>
      <c r="F25" s="178"/>
      <c r="G25" s="178">
        <f t="shared" si="0"/>
        <v>0</v>
      </c>
      <c r="H25" s="173"/>
      <c r="I25" s="177"/>
      <c r="J25" s="177"/>
      <c r="K25" s="177">
        <f t="shared" si="1"/>
        <v>0</v>
      </c>
      <c r="L25" s="177"/>
      <c r="M25" s="178">
        <v>0</v>
      </c>
      <c r="N25" s="178">
        <v>0</v>
      </c>
      <c r="O25" s="178">
        <f t="shared" si="2"/>
        <v>0</v>
      </c>
      <c r="P25" s="177"/>
      <c r="Q25" s="177"/>
      <c r="R25" s="183">
        <f t="shared" si="4"/>
        <v>0</v>
      </c>
      <c r="S25" s="183"/>
      <c r="T25" s="185">
        <f t="shared" si="5"/>
        <v>0</v>
      </c>
      <c r="V25" s="186">
        <f t="shared" si="6"/>
        <v>0</v>
      </c>
      <c r="W25" s="131">
        <f t="shared" si="3"/>
        <v>0</v>
      </c>
    </row>
    <row r="26" spans="1:23">
      <c r="A26" s="220"/>
      <c r="B26" s="180"/>
      <c r="C26" s="224"/>
      <c r="D26" s="182"/>
      <c r="E26" s="177"/>
      <c r="F26" s="178"/>
      <c r="G26" s="178">
        <f t="shared" si="0"/>
        <v>0</v>
      </c>
      <c r="H26" s="173"/>
      <c r="I26" s="177"/>
      <c r="J26" s="177"/>
      <c r="K26" s="177">
        <f t="shared" si="1"/>
        <v>0</v>
      </c>
      <c r="L26" s="177"/>
      <c r="M26" s="178">
        <v>0</v>
      </c>
      <c r="N26" s="178">
        <v>0</v>
      </c>
      <c r="O26" s="178">
        <f t="shared" si="2"/>
        <v>0</v>
      </c>
      <c r="P26" s="177"/>
      <c r="Q26" s="177"/>
      <c r="R26" s="183">
        <f t="shared" si="4"/>
        <v>0</v>
      </c>
      <c r="S26" s="183"/>
      <c r="T26" s="185">
        <f t="shared" si="5"/>
        <v>0</v>
      </c>
      <c r="V26" s="186">
        <f t="shared" si="6"/>
        <v>0</v>
      </c>
      <c r="W26" s="131">
        <f t="shared" si="3"/>
        <v>0</v>
      </c>
    </row>
    <row r="27" spans="1:23" ht="16.5" customHeight="1">
      <c r="A27" s="220"/>
      <c r="B27" s="180"/>
      <c r="C27" s="224"/>
      <c r="D27" s="182"/>
      <c r="E27" s="177"/>
      <c r="F27" s="178"/>
      <c r="G27" s="178">
        <f t="shared" si="0"/>
        <v>0</v>
      </c>
      <c r="H27" s="173"/>
      <c r="I27" s="177"/>
      <c r="J27" s="177"/>
      <c r="K27" s="177">
        <f t="shared" si="1"/>
        <v>0</v>
      </c>
      <c r="L27" s="177"/>
      <c r="M27" s="178">
        <v>0</v>
      </c>
      <c r="N27" s="178">
        <v>0</v>
      </c>
      <c r="O27" s="178">
        <f t="shared" si="2"/>
        <v>0</v>
      </c>
      <c r="P27" s="177"/>
      <c r="Q27" s="177"/>
      <c r="R27" s="183">
        <f t="shared" si="4"/>
        <v>0</v>
      </c>
      <c r="S27" s="183"/>
      <c r="T27" s="185">
        <f t="shared" si="5"/>
        <v>0</v>
      </c>
      <c r="V27" s="186">
        <f t="shared" si="6"/>
        <v>0</v>
      </c>
      <c r="W27" s="131">
        <f t="shared" si="3"/>
        <v>0</v>
      </c>
    </row>
    <row r="28" spans="1:23">
      <c r="A28" s="220"/>
      <c r="B28" s="180"/>
      <c r="C28" s="181"/>
      <c r="D28" s="182"/>
      <c r="E28" s="177"/>
      <c r="F28" s="178"/>
      <c r="G28" s="178">
        <f t="shared" si="0"/>
        <v>0</v>
      </c>
      <c r="H28" s="173"/>
      <c r="I28" s="177"/>
      <c r="J28" s="177"/>
      <c r="K28" s="177">
        <f t="shared" si="1"/>
        <v>0</v>
      </c>
      <c r="L28" s="177"/>
      <c r="M28" s="178">
        <v>0</v>
      </c>
      <c r="N28" s="178">
        <v>0</v>
      </c>
      <c r="O28" s="178">
        <f t="shared" si="2"/>
        <v>0</v>
      </c>
      <c r="P28" s="177"/>
      <c r="Q28" s="177"/>
      <c r="R28" s="183">
        <f t="shared" si="4"/>
        <v>0</v>
      </c>
      <c r="S28" s="183"/>
      <c r="T28" s="185">
        <f t="shared" si="5"/>
        <v>0</v>
      </c>
      <c r="V28" s="186">
        <f t="shared" si="6"/>
        <v>0</v>
      </c>
      <c r="W28" s="131">
        <f t="shared" si="3"/>
        <v>0</v>
      </c>
    </row>
    <row r="29" spans="1:23">
      <c r="A29" s="220"/>
      <c r="B29" s="180"/>
      <c r="C29" s="181"/>
      <c r="D29" s="182"/>
      <c r="E29" s="177"/>
      <c r="F29" s="178"/>
      <c r="G29" s="178">
        <f t="shared" si="0"/>
        <v>0</v>
      </c>
      <c r="H29" s="173"/>
      <c r="I29" s="177"/>
      <c r="J29" s="177"/>
      <c r="K29" s="177">
        <f t="shared" si="1"/>
        <v>0</v>
      </c>
      <c r="L29" s="177"/>
      <c r="M29" s="178">
        <v>0</v>
      </c>
      <c r="N29" s="178">
        <v>0</v>
      </c>
      <c r="O29" s="178">
        <f t="shared" si="2"/>
        <v>0</v>
      </c>
      <c r="P29" s="177"/>
      <c r="Q29" s="177"/>
      <c r="R29" s="183">
        <f t="shared" si="4"/>
        <v>0</v>
      </c>
      <c r="S29" s="183"/>
      <c r="T29" s="185">
        <f t="shared" si="5"/>
        <v>0</v>
      </c>
      <c r="V29" s="186">
        <f t="shared" si="6"/>
        <v>0</v>
      </c>
      <c r="W29" s="131">
        <f t="shared" si="3"/>
        <v>0</v>
      </c>
    </row>
    <row r="30" spans="1:23">
      <c r="A30" s="220"/>
      <c r="B30" s="180"/>
      <c r="C30" s="224"/>
      <c r="D30" s="182"/>
      <c r="E30" s="177"/>
      <c r="F30" s="178"/>
      <c r="G30" s="178">
        <f t="shared" si="0"/>
        <v>0</v>
      </c>
      <c r="H30" s="173"/>
      <c r="I30" s="177"/>
      <c r="J30" s="177"/>
      <c r="K30" s="177">
        <f t="shared" si="1"/>
        <v>0</v>
      </c>
      <c r="L30" s="177"/>
      <c r="M30" s="178">
        <v>0</v>
      </c>
      <c r="N30" s="178">
        <v>0</v>
      </c>
      <c r="O30" s="178">
        <f t="shared" si="2"/>
        <v>0</v>
      </c>
      <c r="P30" s="177"/>
      <c r="Q30" s="177"/>
      <c r="R30" s="183">
        <f t="shared" si="4"/>
        <v>0</v>
      </c>
      <c r="S30" s="184"/>
      <c r="T30" s="185">
        <f t="shared" si="5"/>
        <v>0</v>
      </c>
      <c r="V30" s="186">
        <f t="shared" si="6"/>
        <v>0</v>
      </c>
      <c r="W30" s="131">
        <f t="shared" si="3"/>
        <v>0</v>
      </c>
    </row>
    <row r="31" spans="1:23">
      <c r="A31" s="220"/>
      <c r="B31" s="180"/>
      <c r="C31" s="181"/>
      <c r="D31" s="182"/>
      <c r="E31" s="177"/>
      <c r="F31" s="178"/>
      <c r="G31" s="178">
        <f t="shared" si="0"/>
        <v>0</v>
      </c>
      <c r="H31" s="173"/>
      <c r="I31" s="177"/>
      <c r="J31" s="177"/>
      <c r="K31" s="177">
        <f t="shared" si="1"/>
        <v>0</v>
      </c>
      <c r="L31" s="177"/>
      <c r="M31" s="178">
        <v>0</v>
      </c>
      <c r="N31" s="178">
        <v>0</v>
      </c>
      <c r="O31" s="178">
        <f t="shared" si="2"/>
        <v>0</v>
      </c>
      <c r="P31" s="177"/>
      <c r="Q31" s="177"/>
      <c r="R31" s="183">
        <f t="shared" si="4"/>
        <v>0</v>
      </c>
      <c r="S31" s="183"/>
      <c r="T31" s="185">
        <f t="shared" si="5"/>
        <v>0</v>
      </c>
      <c r="V31" s="186">
        <f t="shared" si="6"/>
        <v>0</v>
      </c>
      <c r="W31" s="131">
        <f t="shared" si="3"/>
        <v>0</v>
      </c>
    </row>
    <row r="32" spans="1:23">
      <c r="A32" s="220"/>
      <c r="B32" s="180"/>
      <c r="C32" s="181"/>
      <c r="D32" s="182"/>
      <c r="E32" s="177"/>
      <c r="F32" s="178"/>
      <c r="G32" s="178">
        <f t="shared" si="0"/>
        <v>0</v>
      </c>
      <c r="H32" s="173"/>
      <c r="I32" s="177"/>
      <c r="J32" s="177"/>
      <c r="K32" s="177">
        <f t="shared" si="1"/>
        <v>0</v>
      </c>
      <c r="L32" s="177"/>
      <c r="M32" s="178">
        <v>0</v>
      </c>
      <c r="N32" s="178">
        <v>0</v>
      </c>
      <c r="O32" s="178">
        <f t="shared" si="2"/>
        <v>0</v>
      </c>
      <c r="P32" s="177"/>
      <c r="Q32" s="177"/>
      <c r="R32" s="183">
        <f t="shared" si="4"/>
        <v>0</v>
      </c>
      <c r="S32" s="183"/>
      <c r="T32" s="185">
        <f t="shared" si="5"/>
        <v>0</v>
      </c>
      <c r="V32" s="186">
        <f t="shared" si="6"/>
        <v>0</v>
      </c>
      <c r="W32" s="131">
        <f t="shared" si="3"/>
        <v>0</v>
      </c>
    </row>
    <row r="33" spans="1:23">
      <c r="A33" s="220"/>
      <c r="B33" s="180"/>
      <c r="C33" s="181"/>
      <c r="D33" s="182"/>
      <c r="E33" s="177"/>
      <c r="F33" s="178"/>
      <c r="G33" s="178">
        <f t="shared" si="0"/>
        <v>0</v>
      </c>
      <c r="H33" s="173"/>
      <c r="I33" s="177"/>
      <c r="J33" s="177"/>
      <c r="K33" s="177">
        <f t="shared" si="1"/>
        <v>0</v>
      </c>
      <c r="L33" s="177"/>
      <c r="M33" s="178">
        <v>0</v>
      </c>
      <c r="N33" s="178">
        <v>0</v>
      </c>
      <c r="O33" s="178">
        <f t="shared" si="2"/>
        <v>0</v>
      </c>
      <c r="P33" s="177"/>
      <c r="Q33" s="177"/>
      <c r="R33" s="183">
        <f t="shared" si="4"/>
        <v>0</v>
      </c>
      <c r="S33" s="183"/>
      <c r="T33" s="185">
        <f t="shared" si="5"/>
        <v>0</v>
      </c>
      <c r="V33" s="186">
        <f t="shared" si="6"/>
        <v>0</v>
      </c>
      <c r="W33" s="131">
        <f t="shared" si="3"/>
        <v>0</v>
      </c>
    </row>
    <row r="34" spans="1:23" ht="17.25" customHeight="1">
      <c r="A34" s="179"/>
      <c r="B34" s="180"/>
      <c r="C34" s="181"/>
      <c r="D34" s="182"/>
      <c r="E34" s="177"/>
      <c r="F34" s="178"/>
      <c r="G34" s="178"/>
      <c r="H34" s="173"/>
      <c r="I34" s="225"/>
      <c r="J34" s="225"/>
      <c r="K34" s="177"/>
      <c r="L34" s="177"/>
      <c r="M34" s="178"/>
      <c r="N34" s="178"/>
      <c r="O34" s="178"/>
      <c r="P34" s="178"/>
      <c r="Q34" s="177"/>
      <c r="R34" s="183"/>
      <c r="S34" s="184"/>
      <c r="T34" s="185"/>
      <c r="V34" s="186"/>
    </row>
    <row r="35" spans="1:23">
      <c r="A35" s="187"/>
      <c r="B35" s="188"/>
      <c r="C35" s="188"/>
      <c r="D35" s="180"/>
      <c r="E35" s="189"/>
      <c r="F35" s="189"/>
      <c r="G35" s="189"/>
      <c r="H35" s="183"/>
      <c r="I35" s="190"/>
      <c r="J35" s="190"/>
      <c r="K35" s="189"/>
      <c r="L35" s="189"/>
      <c r="M35" s="189"/>
      <c r="N35" s="189"/>
      <c r="O35" s="189"/>
      <c r="P35" s="189"/>
      <c r="Q35" s="189"/>
      <c r="R35" s="189"/>
      <c r="S35" s="183"/>
      <c r="T35" s="191"/>
      <c r="V35" s="192"/>
    </row>
    <row r="36" spans="1:23" ht="13.5" thickBot="1">
      <c r="A36" s="193"/>
      <c r="B36" s="194"/>
      <c r="C36" s="195" t="s">
        <v>941</v>
      </c>
      <c r="D36" s="196"/>
      <c r="E36" s="197">
        <f>SUM(E17:E35)</f>
        <v>0</v>
      </c>
      <c r="F36" s="197">
        <f>SUM(F17:F35)</f>
        <v>0</v>
      </c>
      <c r="G36" s="197">
        <f>SUM(G17:G35)</f>
        <v>0</v>
      </c>
      <c r="H36" s="197"/>
      <c r="I36" s="198">
        <f>SUM(I17:I35)</f>
        <v>0</v>
      </c>
      <c r="J36" s="198">
        <f>SUM(J17:J35)</f>
        <v>0</v>
      </c>
      <c r="K36" s="197">
        <f>SUM(K17:K35)</f>
        <v>0</v>
      </c>
      <c r="L36" s="197"/>
      <c r="M36" s="197">
        <f>SUM(M17:M35)</f>
        <v>0</v>
      </c>
      <c r="N36" s="197">
        <f>SUM(N17:N35)</f>
        <v>0</v>
      </c>
      <c r="O36" s="197">
        <f>SUM(O17:O35)</f>
        <v>0</v>
      </c>
      <c r="P36" s="199"/>
      <c r="Q36" s="199"/>
      <c r="R36" s="197">
        <f>SUM(R17:R35)</f>
        <v>0</v>
      </c>
      <c r="S36" s="197"/>
      <c r="T36" s="200">
        <f>SUM(T17:T35)</f>
        <v>0</v>
      </c>
      <c r="V36" s="201">
        <f>SUM(V17:V35)</f>
        <v>0</v>
      </c>
      <c r="W36" s="202"/>
    </row>
    <row r="37" spans="1:23" ht="13.5" thickBot="1">
      <c r="A37" s="141"/>
      <c r="B37" s="141"/>
      <c r="C37" s="203"/>
      <c r="D37" s="141"/>
      <c r="E37" s="204"/>
      <c r="F37" s="205"/>
      <c r="G37" s="205"/>
      <c r="H37" s="141"/>
      <c r="I37" s="206"/>
      <c r="J37" s="207"/>
      <c r="K37" s="208"/>
      <c r="L37" s="208"/>
      <c r="M37" s="208"/>
      <c r="N37" s="208"/>
      <c r="O37" s="208"/>
      <c r="P37" s="208"/>
      <c r="Q37" s="209"/>
      <c r="R37" s="205"/>
      <c r="S37" s="205"/>
      <c r="T37" s="205"/>
      <c r="V37" s="210"/>
      <c r="W37" s="202"/>
    </row>
    <row r="38" spans="1:23">
      <c r="A38" s="141"/>
      <c r="B38" s="141"/>
      <c r="C38" s="211" t="s">
        <v>662</v>
      </c>
      <c r="D38" s="141"/>
      <c r="E38" s="205"/>
      <c r="F38" s="205"/>
      <c r="G38" s="205"/>
      <c r="H38" s="141"/>
      <c r="I38" s="212"/>
      <c r="J38" s="213"/>
      <c r="K38" s="141"/>
      <c r="L38" s="141"/>
      <c r="M38" s="208"/>
      <c r="N38" s="208"/>
      <c r="O38" s="208"/>
      <c r="P38" s="208"/>
      <c r="Q38" s="208"/>
      <c r="R38" s="205"/>
      <c r="S38" s="205"/>
      <c r="T38" s="205"/>
    </row>
    <row r="39" spans="1:23">
      <c r="A39" s="141"/>
      <c r="B39" s="141"/>
      <c r="C39" s="211"/>
      <c r="D39" s="141"/>
      <c r="E39" s="205"/>
      <c r="F39" s="205"/>
      <c r="G39" s="205"/>
      <c r="H39" s="141"/>
      <c r="I39" s="214"/>
      <c r="J39" s="215"/>
      <c r="K39" s="141"/>
      <c r="L39" s="141"/>
      <c r="M39" s="208"/>
      <c r="N39" s="208"/>
      <c r="O39" s="208"/>
      <c r="P39" s="208"/>
      <c r="Q39" s="216"/>
      <c r="R39" s="208"/>
      <c r="S39" s="141"/>
      <c r="T39" s="141"/>
    </row>
    <row r="40" spans="1:23">
      <c r="E40" s="217"/>
      <c r="F40" s="217"/>
      <c r="G40" s="217"/>
      <c r="I40" s="137"/>
      <c r="J40" s="218"/>
      <c r="M40" s="219"/>
      <c r="N40" s="219"/>
      <c r="O40" s="219"/>
      <c r="P40" s="219"/>
      <c r="Q40" s="219"/>
      <c r="R40" s="219"/>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Southwestern Transmission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C67"/>
  <sheetViews>
    <sheetView topLeftCell="A19" zoomScale="70" zoomScaleNormal="70" zoomScalePageLayoutView="80" workbookViewId="0">
      <selection activeCell="C56" sqref="C56"/>
    </sheetView>
  </sheetViews>
  <sheetFormatPr defaultColWidth="9.28515625" defaultRowHeight="12.75"/>
  <cols>
    <col min="1" max="1" width="8" style="232" customWidth="1"/>
    <col min="2" max="2" width="5.7109375" style="226" customWidth="1"/>
    <col min="3" max="3" width="4.7109375" style="226" customWidth="1"/>
    <col min="4" max="4" width="44.42578125" style="226" customWidth="1"/>
    <col min="5" max="5" width="14.42578125" style="226" customWidth="1"/>
    <col min="6" max="7" width="11.28515625" style="226" customWidth="1"/>
    <col min="8" max="8" width="10.7109375" style="226" customWidth="1"/>
    <col min="9" max="9" width="11.7109375" style="226" customWidth="1"/>
    <col min="10" max="12" width="11.28515625" style="226" customWidth="1"/>
    <col min="13" max="13" width="12.5703125" style="226" customWidth="1"/>
    <col min="14" max="14" width="11.7109375" style="226" customWidth="1"/>
    <col min="15" max="15" width="11.5703125" style="226" customWidth="1"/>
    <col min="16" max="16" width="12.28515625" style="226" customWidth="1"/>
    <col min="17" max="17" width="11.7109375" style="226" customWidth="1"/>
    <col min="18" max="18" width="18.28515625" style="227" customWidth="1"/>
    <col min="19" max="16384" width="9.28515625" style="226"/>
  </cols>
  <sheetData>
    <row r="1" spans="1:19" ht="15">
      <c r="A1" s="130"/>
    </row>
    <row r="2" spans="1:19">
      <c r="A2" s="226"/>
      <c r="B2" s="228" t="str">
        <f>+'OKT TCOS'!F4</f>
        <v xml:space="preserve">AEP West SPP Member Transmission Companies </v>
      </c>
      <c r="C2" s="228"/>
      <c r="D2" s="228"/>
      <c r="E2" s="228"/>
      <c r="F2" s="228"/>
      <c r="G2" s="228"/>
      <c r="H2" s="228"/>
      <c r="I2" s="228"/>
      <c r="J2" s="228"/>
      <c r="K2" s="228"/>
      <c r="L2" s="228"/>
      <c r="M2" s="228"/>
      <c r="N2" s="228"/>
      <c r="O2" s="228"/>
      <c r="P2" s="228"/>
      <c r="Q2" s="228"/>
    </row>
    <row r="3" spans="1:19">
      <c r="A3" s="226"/>
      <c r="B3" s="228" t="str">
        <f>"Network Load for January Through December 2022"</f>
        <v>Network Load for January Through December 2022</v>
      </c>
      <c r="C3" s="228"/>
      <c r="D3" s="228"/>
      <c r="E3" s="228"/>
      <c r="F3" s="228"/>
      <c r="G3" s="228"/>
      <c r="H3" s="228"/>
      <c r="I3" s="228"/>
      <c r="J3" s="228"/>
      <c r="K3" s="228"/>
      <c r="L3" s="228"/>
      <c r="M3" s="228"/>
      <c r="N3" s="228"/>
      <c r="O3" s="228"/>
      <c r="P3" s="228"/>
      <c r="Q3" s="228"/>
    </row>
    <row r="4" spans="1:19">
      <c r="A4" s="226"/>
      <c r="B4" s="229" t="s">
        <v>1254</v>
      </c>
      <c r="C4" s="230"/>
      <c r="D4" s="230"/>
      <c r="E4" s="230"/>
      <c r="F4" s="230"/>
      <c r="G4" s="230"/>
      <c r="H4" s="230"/>
      <c r="I4" s="230"/>
      <c r="J4" s="230"/>
      <c r="K4" s="230"/>
      <c r="L4" s="230"/>
      <c r="M4" s="230"/>
      <c r="N4" s="230"/>
      <c r="O4" s="230"/>
      <c r="P4" s="230"/>
      <c r="Q4" s="230"/>
    </row>
    <row r="5" spans="1:19">
      <c r="A5" s="226"/>
      <c r="B5" s="228"/>
      <c r="C5" s="230"/>
      <c r="D5" s="230"/>
      <c r="E5" s="230"/>
      <c r="F5" s="230"/>
      <c r="G5" s="230"/>
      <c r="H5" s="230"/>
      <c r="I5" s="230"/>
      <c r="J5" s="230"/>
      <c r="K5" s="230"/>
      <c r="L5" s="230"/>
      <c r="M5" s="230"/>
      <c r="N5" s="230"/>
      <c r="O5" s="230"/>
      <c r="P5" s="230"/>
      <c r="Q5" s="230"/>
    </row>
    <row r="6" spans="1:19" ht="14.25" customHeight="1">
      <c r="A6" s="226"/>
      <c r="B6" s="231" t="s">
        <v>581</v>
      </c>
      <c r="C6" s="230"/>
      <c r="D6" s="230"/>
      <c r="E6" s="230"/>
      <c r="F6" s="230"/>
      <c r="G6" s="230"/>
      <c r="H6" s="230"/>
      <c r="I6" s="230"/>
      <c r="J6" s="230"/>
      <c r="K6" s="230"/>
      <c r="L6" s="230"/>
      <c r="M6" s="230"/>
      <c r="N6" s="230"/>
      <c r="O6" s="230"/>
      <c r="P6" s="230"/>
      <c r="Q6" s="230"/>
    </row>
    <row r="7" spans="1:19" ht="14.25" customHeight="1">
      <c r="A7" s="226"/>
      <c r="B7" s="231"/>
      <c r="C7" s="230"/>
      <c r="D7" s="230"/>
      <c r="E7" s="230"/>
      <c r="F7" s="230"/>
      <c r="G7" s="230"/>
      <c r="H7" s="230"/>
      <c r="I7" s="230"/>
      <c r="J7" s="230"/>
      <c r="K7" s="230"/>
      <c r="L7" s="230"/>
      <c r="M7" s="230"/>
      <c r="N7" s="230"/>
      <c r="O7" s="230"/>
      <c r="P7" s="230"/>
      <c r="Q7" s="230"/>
    </row>
    <row r="8" spans="1:19" ht="11.65" customHeight="1">
      <c r="B8" s="233"/>
      <c r="C8" s="234" t="s">
        <v>570</v>
      </c>
      <c r="D8" s="233"/>
      <c r="E8" s="233"/>
      <c r="F8" s="233"/>
      <c r="G8" s="233"/>
      <c r="H8" s="233"/>
      <c r="I8" s="233"/>
      <c r="J8" s="233"/>
      <c r="K8" s="233"/>
      <c r="L8" s="233"/>
      <c r="M8" s="233"/>
      <c r="N8" s="233"/>
      <c r="O8" s="233"/>
      <c r="P8" s="233"/>
      <c r="Q8" s="233"/>
    </row>
    <row r="9" spans="1:19" ht="11.65" customHeight="1">
      <c r="B9" s="233"/>
      <c r="C9" s="234"/>
      <c r="D9" s="233"/>
      <c r="E9" s="235" t="s">
        <v>319</v>
      </c>
      <c r="F9" s="235" t="s">
        <v>512</v>
      </c>
      <c r="G9" s="235" t="s">
        <v>320</v>
      </c>
      <c r="H9" s="235" t="s">
        <v>321</v>
      </c>
      <c r="I9" s="235" t="s">
        <v>322</v>
      </c>
      <c r="J9" s="235" t="s">
        <v>48</v>
      </c>
      <c r="K9" s="235" t="s">
        <v>323</v>
      </c>
      <c r="L9" s="235" t="s">
        <v>324</v>
      </c>
      <c r="M9" s="235" t="s">
        <v>326</v>
      </c>
      <c r="N9" s="235" t="s">
        <v>513</v>
      </c>
      <c r="O9" s="235" t="s">
        <v>514</v>
      </c>
      <c r="P9" s="235" t="s">
        <v>325</v>
      </c>
    </row>
    <row r="10" spans="1:19" ht="11.65" customHeight="1">
      <c r="C10" s="232"/>
      <c r="D10" s="236" t="s">
        <v>562</v>
      </c>
      <c r="E10" s="237">
        <v>44582</v>
      </c>
      <c r="F10" s="237">
        <v>44596</v>
      </c>
      <c r="G10" s="237">
        <v>44632</v>
      </c>
      <c r="H10" s="237">
        <v>44673</v>
      </c>
      <c r="I10" s="237">
        <v>44699</v>
      </c>
      <c r="J10" s="237">
        <v>44736</v>
      </c>
      <c r="K10" s="237">
        <v>44761</v>
      </c>
      <c r="L10" s="237">
        <v>44776</v>
      </c>
      <c r="M10" s="237">
        <v>44825</v>
      </c>
      <c r="N10" s="237">
        <v>44840</v>
      </c>
      <c r="O10" s="237">
        <v>44882</v>
      </c>
      <c r="P10" s="237">
        <v>44918</v>
      </c>
      <c r="R10" s="226"/>
      <c r="S10" s="238" t="s">
        <v>563</v>
      </c>
    </row>
    <row r="11" spans="1:19" ht="11.65" customHeight="1">
      <c r="A11" s="239" t="s">
        <v>564</v>
      </c>
      <c r="C11" s="232"/>
      <c r="D11" s="236" t="s">
        <v>565</v>
      </c>
      <c r="E11" s="240">
        <v>800</v>
      </c>
      <c r="F11" s="240">
        <v>900</v>
      </c>
      <c r="G11" s="240">
        <v>800</v>
      </c>
      <c r="H11" s="240">
        <v>1700</v>
      </c>
      <c r="I11" s="240">
        <v>1700</v>
      </c>
      <c r="J11" s="240">
        <v>1700</v>
      </c>
      <c r="K11" s="240">
        <v>1700</v>
      </c>
      <c r="L11" s="240">
        <v>1700</v>
      </c>
      <c r="M11" s="240">
        <v>1700</v>
      </c>
      <c r="N11" s="240">
        <v>1700</v>
      </c>
      <c r="O11" s="240">
        <v>800</v>
      </c>
      <c r="P11" s="240">
        <v>900</v>
      </c>
      <c r="R11" s="226"/>
      <c r="S11" s="238" t="s">
        <v>177</v>
      </c>
    </row>
    <row r="12" spans="1:19" ht="11.65" customHeight="1">
      <c r="A12" s="239"/>
      <c r="C12"/>
      <c r="D12" s="236"/>
      <c r="E12" s="2158"/>
      <c r="F12" s="2158" t="s">
        <v>251</v>
      </c>
      <c r="G12" s="2158"/>
      <c r="H12" s="2158"/>
      <c r="I12" s="2158"/>
      <c r="J12" s="2158"/>
      <c r="K12" s="2158"/>
      <c r="L12" s="2158"/>
      <c r="M12" s="2158"/>
      <c r="N12" s="2158"/>
      <c r="O12" s="2158"/>
      <c r="P12" s="2158"/>
      <c r="Q12" s="238"/>
      <c r="S12" s="238" t="s">
        <v>122</v>
      </c>
    </row>
    <row r="13" spans="1:19" ht="11.65" customHeight="1" thickBot="1">
      <c r="A13" s="232" t="s">
        <v>254</v>
      </c>
      <c r="B13" s="241" t="s">
        <v>566</v>
      </c>
      <c r="C13" s="242"/>
      <c r="D13" s="242"/>
      <c r="E13" s="232"/>
      <c r="F13" s="232"/>
      <c r="G13" s="232"/>
      <c r="H13" s="232"/>
      <c r="I13" s="232"/>
      <c r="J13" s="232"/>
      <c r="K13" s="232"/>
      <c r="L13" s="232"/>
      <c r="M13" s="232"/>
      <c r="N13" s="232"/>
      <c r="O13" s="232"/>
      <c r="P13" s="232"/>
      <c r="Q13" s="232"/>
      <c r="S13" s="227"/>
    </row>
    <row r="14" spans="1:19" s="243" customFormat="1" ht="11.65" customHeight="1">
      <c r="A14" s="232">
        <v>1</v>
      </c>
      <c r="C14" s="244" t="s">
        <v>1259</v>
      </c>
      <c r="D14" s="245"/>
      <c r="E14" s="245">
        <v>2899</v>
      </c>
      <c r="F14" s="245">
        <v>2759</v>
      </c>
      <c r="G14" s="245">
        <v>2450</v>
      </c>
      <c r="H14" s="245">
        <v>2395</v>
      </c>
      <c r="I14" s="245">
        <v>3482</v>
      </c>
      <c r="J14" s="245">
        <v>4006</v>
      </c>
      <c r="K14" s="245">
        <v>4230</v>
      </c>
      <c r="L14" s="245">
        <v>4151</v>
      </c>
      <c r="M14" s="245">
        <v>3898</v>
      </c>
      <c r="N14" s="245">
        <v>2760</v>
      </c>
      <c r="O14" s="245">
        <v>2561</v>
      </c>
      <c r="P14" s="245">
        <v>3150</v>
      </c>
      <c r="Q14" s="246">
        <f>ROUND(SUM(E14:P14)/12,1)</f>
        <v>3228.4</v>
      </c>
      <c r="R14" s="247">
        <f t="shared" ref="R14:R31" si="0">+Q14/Q$33</f>
        <v>0.37010910063626112</v>
      </c>
      <c r="S14" s="232">
        <f t="shared" ref="S14:S31" si="1">ROUND(Q14,0)</f>
        <v>3228</v>
      </c>
    </row>
    <row r="15" spans="1:19" s="243" customFormat="1" ht="11.65" customHeight="1">
      <c r="A15" s="232">
        <f>+A14+1</f>
        <v>2</v>
      </c>
      <c r="C15" s="244" t="s">
        <v>1260</v>
      </c>
      <c r="D15" s="245"/>
      <c r="E15" s="245">
        <v>2921</v>
      </c>
      <c r="F15" s="245">
        <v>2853</v>
      </c>
      <c r="G15" s="245">
        <v>2560</v>
      </c>
      <c r="H15" s="245">
        <v>2434</v>
      </c>
      <c r="I15" s="245">
        <v>3117</v>
      </c>
      <c r="J15" s="245">
        <v>3536</v>
      </c>
      <c r="K15" s="245">
        <v>3696</v>
      </c>
      <c r="L15" s="245">
        <v>3632</v>
      </c>
      <c r="M15" s="245">
        <v>3337</v>
      </c>
      <c r="N15" s="245">
        <v>2496</v>
      </c>
      <c r="O15" s="245">
        <v>2518</v>
      </c>
      <c r="P15" s="245">
        <v>3399</v>
      </c>
      <c r="Q15" s="246">
        <f t="shared" ref="Q15:Q31" si="2">ROUND(SUM(E15:P15)/12,1)</f>
        <v>3041.6</v>
      </c>
      <c r="R15" s="247">
        <f t="shared" si="0"/>
        <v>0.34869404054492992</v>
      </c>
      <c r="S15" s="232">
        <f t="shared" si="1"/>
        <v>3042</v>
      </c>
    </row>
    <row r="16" spans="1:19" s="243" customFormat="1" ht="11.65" customHeight="1">
      <c r="A16" s="232">
        <f t="shared" ref="A16:A33" si="3">+A15+1</f>
        <v>3</v>
      </c>
      <c r="C16" s="244" t="s">
        <v>1261</v>
      </c>
      <c r="D16" s="245"/>
      <c r="E16" s="245">
        <v>741</v>
      </c>
      <c r="F16" s="245">
        <v>658</v>
      </c>
      <c r="G16" s="245">
        <v>578</v>
      </c>
      <c r="H16" s="245">
        <v>449</v>
      </c>
      <c r="I16" s="245">
        <v>604</v>
      </c>
      <c r="J16" s="245">
        <v>772</v>
      </c>
      <c r="K16" s="245">
        <v>845</v>
      </c>
      <c r="L16" s="245">
        <v>774</v>
      </c>
      <c r="M16" s="245">
        <v>701</v>
      </c>
      <c r="N16" s="245">
        <v>475</v>
      </c>
      <c r="O16" s="245">
        <v>598</v>
      </c>
      <c r="P16" s="245">
        <v>937</v>
      </c>
      <c r="Q16" s="246">
        <f t="shared" si="2"/>
        <v>677.7</v>
      </c>
      <c r="R16" s="247">
        <f t="shared" si="0"/>
        <v>7.7692645738196689E-2</v>
      </c>
      <c r="S16" s="232">
        <f t="shared" si="1"/>
        <v>678</v>
      </c>
    </row>
    <row r="17" spans="1:19" s="243" customFormat="1" ht="11.65" customHeight="1">
      <c r="A17" s="232">
        <f t="shared" si="3"/>
        <v>4</v>
      </c>
      <c r="C17" s="244" t="s">
        <v>1262</v>
      </c>
      <c r="D17" s="245"/>
      <c r="E17" s="245">
        <v>152</v>
      </c>
      <c r="F17" s="245">
        <v>138</v>
      </c>
      <c r="G17" s="245">
        <v>122</v>
      </c>
      <c r="H17" s="245">
        <v>100</v>
      </c>
      <c r="I17" s="245">
        <v>149</v>
      </c>
      <c r="J17" s="245">
        <v>170</v>
      </c>
      <c r="K17" s="245">
        <v>191</v>
      </c>
      <c r="L17" s="245">
        <v>180</v>
      </c>
      <c r="M17" s="245">
        <v>159</v>
      </c>
      <c r="N17" s="245">
        <v>114</v>
      </c>
      <c r="O17" s="245">
        <v>132</v>
      </c>
      <c r="P17" s="245">
        <v>186</v>
      </c>
      <c r="Q17" s="246">
        <f t="shared" si="2"/>
        <v>149.4</v>
      </c>
      <c r="R17" s="247">
        <f t="shared" si="0"/>
        <v>1.7127462407092495E-2</v>
      </c>
      <c r="S17" s="232">
        <f t="shared" si="1"/>
        <v>149</v>
      </c>
    </row>
    <row r="18" spans="1:19" s="243" customFormat="1" ht="11.65" customHeight="1">
      <c r="A18" s="232">
        <f t="shared" si="3"/>
        <v>5</v>
      </c>
      <c r="C18" s="244" t="s">
        <v>1263</v>
      </c>
      <c r="D18" s="245"/>
      <c r="E18" s="245">
        <v>50</v>
      </c>
      <c r="F18" s="245">
        <v>49</v>
      </c>
      <c r="G18" s="245">
        <v>45</v>
      </c>
      <c r="H18" s="245">
        <v>34</v>
      </c>
      <c r="I18" s="245">
        <v>42</v>
      </c>
      <c r="J18" s="245">
        <v>49</v>
      </c>
      <c r="K18" s="245">
        <v>54</v>
      </c>
      <c r="L18" s="245">
        <v>47</v>
      </c>
      <c r="M18" s="245">
        <v>47</v>
      </c>
      <c r="N18" s="245">
        <v>39</v>
      </c>
      <c r="O18" s="245">
        <v>45</v>
      </c>
      <c r="P18" s="245">
        <v>61</v>
      </c>
      <c r="Q18" s="246">
        <f t="shared" si="2"/>
        <v>46.8</v>
      </c>
      <c r="R18" s="247">
        <f t="shared" si="0"/>
        <v>5.3652291877639138E-3</v>
      </c>
      <c r="S18" s="232">
        <f t="shared" si="1"/>
        <v>47</v>
      </c>
    </row>
    <row r="19" spans="1:19" s="243" customFormat="1" ht="11.65" customHeight="1">
      <c r="A19" s="232">
        <f t="shared" si="3"/>
        <v>6</v>
      </c>
      <c r="C19" s="244" t="s">
        <v>1264</v>
      </c>
      <c r="D19" s="245"/>
      <c r="E19" s="245">
        <v>92</v>
      </c>
      <c r="F19" s="245">
        <v>88</v>
      </c>
      <c r="G19" s="245">
        <v>71</v>
      </c>
      <c r="H19" s="245">
        <v>76</v>
      </c>
      <c r="I19" s="245">
        <v>134</v>
      </c>
      <c r="J19" s="245">
        <v>145</v>
      </c>
      <c r="K19" s="245">
        <v>161</v>
      </c>
      <c r="L19" s="245">
        <v>154</v>
      </c>
      <c r="M19" s="245">
        <v>132</v>
      </c>
      <c r="N19" s="245">
        <v>91</v>
      </c>
      <c r="O19" s="245">
        <v>67</v>
      </c>
      <c r="P19" s="245">
        <v>96</v>
      </c>
      <c r="Q19" s="246">
        <f t="shared" si="2"/>
        <v>108.9</v>
      </c>
      <c r="R19" s="247">
        <f t="shared" si="0"/>
        <v>1.248447560998911E-2</v>
      </c>
      <c r="S19" s="232">
        <f t="shared" si="1"/>
        <v>109</v>
      </c>
    </row>
    <row r="20" spans="1:19" s="243" customFormat="1" ht="11.65" customHeight="1">
      <c r="A20" s="232">
        <f t="shared" si="3"/>
        <v>7</v>
      </c>
      <c r="C20" s="244" t="s">
        <v>1265</v>
      </c>
      <c r="D20" s="245"/>
      <c r="E20" s="245">
        <v>0</v>
      </c>
      <c r="F20" s="245">
        <v>5</v>
      </c>
      <c r="G20" s="245">
        <v>0</v>
      </c>
      <c r="H20" s="245">
        <v>5</v>
      </c>
      <c r="I20" s="245">
        <v>6</v>
      </c>
      <c r="J20" s="245">
        <v>8</v>
      </c>
      <c r="K20" s="245">
        <v>9</v>
      </c>
      <c r="L20" s="245">
        <v>9</v>
      </c>
      <c r="M20" s="245">
        <v>9</v>
      </c>
      <c r="N20" s="245">
        <v>9</v>
      </c>
      <c r="O20" s="245">
        <v>7</v>
      </c>
      <c r="P20" s="245">
        <v>8</v>
      </c>
      <c r="Q20" s="246">
        <f t="shared" si="2"/>
        <v>6.3</v>
      </c>
      <c r="R20" s="247">
        <f t="shared" si="0"/>
        <v>7.2224239066052693E-4</v>
      </c>
      <c r="S20" s="232">
        <f t="shared" si="1"/>
        <v>6</v>
      </c>
    </row>
    <row r="21" spans="1:19" ht="11.65" customHeight="1">
      <c r="A21" s="232">
        <f t="shared" si="3"/>
        <v>8</v>
      </c>
      <c r="C21" s="244" t="s">
        <v>1266</v>
      </c>
      <c r="D21" s="245"/>
      <c r="E21" s="245">
        <v>29</v>
      </c>
      <c r="F21" s="245">
        <v>25</v>
      </c>
      <c r="G21" s="245">
        <v>29</v>
      </c>
      <c r="H21" s="245">
        <v>32</v>
      </c>
      <c r="I21" s="245">
        <v>33</v>
      </c>
      <c r="J21" s="245">
        <v>36</v>
      </c>
      <c r="K21" s="245">
        <v>35</v>
      </c>
      <c r="L21" s="245">
        <v>37</v>
      </c>
      <c r="M21" s="245">
        <v>35</v>
      </c>
      <c r="N21" s="245">
        <v>33</v>
      </c>
      <c r="O21" s="245">
        <v>39</v>
      </c>
      <c r="P21" s="245">
        <v>36</v>
      </c>
      <c r="Q21" s="246">
        <f t="shared" si="2"/>
        <v>33.299999999999997</v>
      </c>
      <c r="R21" s="247">
        <f t="shared" si="0"/>
        <v>3.8175669220627847E-3</v>
      </c>
      <c r="S21" s="232">
        <f t="shared" si="1"/>
        <v>33</v>
      </c>
    </row>
    <row r="22" spans="1:19" s="243" customFormat="1" ht="11.65" customHeight="1">
      <c r="A22" s="232">
        <f t="shared" si="3"/>
        <v>9</v>
      </c>
      <c r="C22" s="244" t="s">
        <v>1267</v>
      </c>
      <c r="D22" s="245"/>
      <c r="E22" s="245">
        <v>13</v>
      </c>
      <c r="F22" s="245">
        <v>13</v>
      </c>
      <c r="G22" s="245">
        <v>13</v>
      </c>
      <c r="H22" s="245">
        <v>15</v>
      </c>
      <c r="I22" s="245">
        <v>13</v>
      </c>
      <c r="J22" s="245">
        <v>12</v>
      </c>
      <c r="K22" s="245">
        <v>14</v>
      </c>
      <c r="L22" s="245">
        <v>14</v>
      </c>
      <c r="M22" s="245">
        <v>14</v>
      </c>
      <c r="N22" s="245">
        <v>14</v>
      </c>
      <c r="O22" s="245">
        <v>13</v>
      </c>
      <c r="P22" s="245">
        <v>14</v>
      </c>
      <c r="Q22" s="246">
        <f t="shared" si="2"/>
        <v>13.5</v>
      </c>
      <c r="R22" s="247">
        <f t="shared" si="0"/>
        <v>1.5476622657011291E-3</v>
      </c>
      <c r="S22" s="232">
        <f t="shared" si="1"/>
        <v>14</v>
      </c>
    </row>
    <row r="23" spans="1:19" s="243" customFormat="1" ht="11.65" customHeight="1">
      <c r="A23" s="232">
        <f t="shared" si="3"/>
        <v>10</v>
      </c>
      <c r="C23" s="244" t="s">
        <v>1268</v>
      </c>
      <c r="D23" s="245"/>
      <c r="E23" s="245">
        <v>1045</v>
      </c>
      <c r="F23" s="245">
        <v>1114</v>
      </c>
      <c r="G23" s="245">
        <v>977</v>
      </c>
      <c r="H23" s="245">
        <v>539</v>
      </c>
      <c r="I23" s="245">
        <v>754</v>
      </c>
      <c r="J23" s="245">
        <v>946</v>
      </c>
      <c r="K23" s="245">
        <v>979</v>
      </c>
      <c r="L23" s="245">
        <v>973</v>
      </c>
      <c r="M23" s="245">
        <v>847</v>
      </c>
      <c r="N23" s="245">
        <v>609</v>
      </c>
      <c r="O23" s="245">
        <v>807</v>
      </c>
      <c r="P23" s="245">
        <v>1434</v>
      </c>
      <c r="Q23" s="246">
        <f t="shared" si="2"/>
        <v>918.7</v>
      </c>
      <c r="R23" s="247">
        <f t="shared" si="0"/>
        <v>0.10532128322219463</v>
      </c>
      <c r="S23" s="232">
        <f t="shared" si="1"/>
        <v>919</v>
      </c>
    </row>
    <row r="24" spans="1:19" s="243" customFormat="1" ht="11.65" customHeight="1">
      <c r="A24" s="232">
        <f t="shared" si="3"/>
        <v>11</v>
      </c>
      <c r="C24" s="244" t="s">
        <v>1269</v>
      </c>
      <c r="D24" s="245"/>
      <c r="E24" s="245">
        <v>8</v>
      </c>
      <c r="F24" s="245">
        <v>7</v>
      </c>
      <c r="G24" s="245">
        <v>5</v>
      </c>
      <c r="H24" s="245">
        <v>7</v>
      </c>
      <c r="I24" s="245">
        <v>10</v>
      </c>
      <c r="J24" s="245">
        <v>14</v>
      </c>
      <c r="K24" s="245">
        <v>18</v>
      </c>
      <c r="L24" s="245">
        <v>16</v>
      </c>
      <c r="M24" s="245">
        <v>9</v>
      </c>
      <c r="N24" s="245">
        <v>6</v>
      </c>
      <c r="O24" s="245">
        <v>6</v>
      </c>
      <c r="P24" s="245">
        <v>8</v>
      </c>
      <c r="Q24" s="246">
        <f t="shared" si="2"/>
        <v>9.5</v>
      </c>
      <c r="R24" s="247">
        <f t="shared" si="0"/>
        <v>1.0890956684563502E-3</v>
      </c>
      <c r="S24" s="232">
        <f t="shared" si="1"/>
        <v>10</v>
      </c>
    </row>
    <row r="25" spans="1:19" s="243" customFormat="1" ht="11.65" customHeight="1">
      <c r="A25" s="232">
        <f t="shared" si="3"/>
        <v>12</v>
      </c>
      <c r="C25" s="244" t="s">
        <v>1270</v>
      </c>
      <c r="D25" s="245"/>
      <c r="E25" s="245">
        <v>3</v>
      </c>
      <c r="F25" s="245">
        <v>2</v>
      </c>
      <c r="G25" s="245">
        <v>3</v>
      </c>
      <c r="H25" s="245">
        <v>2</v>
      </c>
      <c r="I25" s="245">
        <v>3</v>
      </c>
      <c r="J25" s="245">
        <v>5</v>
      </c>
      <c r="K25" s="245">
        <v>6</v>
      </c>
      <c r="L25" s="245">
        <v>6</v>
      </c>
      <c r="M25" s="245">
        <v>3</v>
      </c>
      <c r="N25" s="245">
        <v>2</v>
      </c>
      <c r="O25" s="245">
        <v>1</v>
      </c>
      <c r="P25" s="245">
        <v>4</v>
      </c>
      <c r="Q25" s="246">
        <f t="shared" si="2"/>
        <v>3.3</v>
      </c>
      <c r="R25" s="247">
        <f t="shared" si="0"/>
        <v>3.7831744272694265E-4</v>
      </c>
      <c r="S25" s="232">
        <f t="shared" si="1"/>
        <v>3</v>
      </c>
    </row>
    <row r="26" spans="1:19" s="243" customFormat="1" ht="11.65" customHeight="1">
      <c r="A26" s="232">
        <f t="shared" si="3"/>
        <v>13</v>
      </c>
      <c r="C26" s="244" t="s">
        <v>1271</v>
      </c>
      <c r="D26" s="245"/>
      <c r="E26" s="245">
        <v>121</v>
      </c>
      <c r="F26" s="245">
        <v>109</v>
      </c>
      <c r="G26" s="245">
        <v>95</v>
      </c>
      <c r="H26" s="245">
        <v>93</v>
      </c>
      <c r="I26" s="245">
        <v>125</v>
      </c>
      <c r="J26" s="245">
        <v>159</v>
      </c>
      <c r="K26" s="245">
        <v>176</v>
      </c>
      <c r="L26" s="245">
        <v>167</v>
      </c>
      <c r="M26" s="245">
        <v>153</v>
      </c>
      <c r="N26" s="245">
        <v>104</v>
      </c>
      <c r="O26" s="245">
        <v>104</v>
      </c>
      <c r="P26" s="245">
        <v>139</v>
      </c>
      <c r="Q26" s="246">
        <f t="shared" si="2"/>
        <v>128.80000000000001</v>
      </c>
      <c r="R26" s="247">
        <f t="shared" si="0"/>
        <v>1.4765844431281885E-2</v>
      </c>
      <c r="S26" s="232">
        <f t="shared" si="1"/>
        <v>129</v>
      </c>
    </row>
    <row r="27" spans="1:19" s="243" customFormat="1" ht="11.65" customHeight="1">
      <c r="A27" s="232">
        <f t="shared" si="3"/>
        <v>14</v>
      </c>
      <c r="C27" s="244" t="s">
        <v>1272</v>
      </c>
      <c r="D27" s="245"/>
      <c r="E27" s="245">
        <v>8</v>
      </c>
      <c r="F27" s="245">
        <v>11</v>
      </c>
      <c r="G27" s="245">
        <v>9</v>
      </c>
      <c r="H27" s="245">
        <v>11</v>
      </c>
      <c r="I27" s="245">
        <v>11</v>
      </c>
      <c r="J27" s="245">
        <v>14</v>
      </c>
      <c r="K27" s="245">
        <v>13</v>
      </c>
      <c r="L27" s="245">
        <v>13</v>
      </c>
      <c r="M27" s="245">
        <v>13</v>
      </c>
      <c r="N27" s="245">
        <v>10</v>
      </c>
      <c r="O27" s="245">
        <v>9</v>
      </c>
      <c r="P27" s="245">
        <v>9</v>
      </c>
      <c r="Q27" s="246">
        <f t="shared" si="2"/>
        <v>10.9</v>
      </c>
      <c r="R27" s="247">
        <f t="shared" si="0"/>
        <v>1.2495939774920229E-3</v>
      </c>
      <c r="S27" s="232">
        <f t="shared" si="1"/>
        <v>11</v>
      </c>
    </row>
    <row r="28" spans="1:19" s="243" customFormat="1" ht="11.65" customHeight="1">
      <c r="A28" s="232">
        <f t="shared" si="3"/>
        <v>15</v>
      </c>
      <c r="C28" s="244" t="s">
        <v>1273</v>
      </c>
      <c r="D28" s="245"/>
      <c r="E28" s="245">
        <v>22</v>
      </c>
      <c r="F28" s="245">
        <v>22</v>
      </c>
      <c r="G28" s="245">
        <v>18</v>
      </c>
      <c r="H28" s="245">
        <v>21</v>
      </c>
      <c r="I28" s="245">
        <v>31</v>
      </c>
      <c r="J28" s="245">
        <v>38</v>
      </c>
      <c r="K28" s="245">
        <v>40</v>
      </c>
      <c r="L28" s="245">
        <v>38</v>
      </c>
      <c r="M28" s="245">
        <v>35</v>
      </c>
      <c r="N28" s="245">
        <v>23</v>
      </c>
      <c r="O28" s="245">
        <v>18</v>
      </c>
      <c r="P28" s="245">
        <v>27</v>
      </c>
      <c r="Q28" s="246">
        <f t="shared" si="2"/>
        <v>27.8</v>
      </c>
      <c r="R28" s="247">
        <f t="shared" si="0"/>
        <v>3.1870378508512139E-3</v>
      </c>
      <c r="S28" s="232">
        <f t="shared" si="1"/>
        <v>28</v>
      </c>
    </row>
    <row r="29" spans="1:19" s="243" customFormat="1" ht="11.65" customHeight="1">
      <c r="A29" s="232">
        <f t="shared" si="3"/>
        <v>16</v>
      </c>
      <c r="C29" s="244" t="s">
        <v>1274</v>
      </c>
      <c r="D29" s="245"/>
      <c r="E29" s="245">
        <v>37</v>
      </c>
      <c r="F29" s="245">
        <v>37</v>
      </c>
      <c r="G29" s="245">
        <v>25</v>
      </c>
      <c r="H29" s="245">
        <v>31</v>
      </c>
      <c r="I29" s="245">
        <v>40</v>
      </c>
      <c r="J29" s="245">
        <v>48</v>
      </c>
      <c r="K29" s="245">
        <v>52</v>
      </c>
      <c r="L29" s="245">
        <v>50</v>
      </c>
      <c r="M29" s="245">
        <v>47</v>
      </c>
      <c r="N29" s="245">
        <v>35</v>
      </c>
      <c r="O29" s="245">
        <v>34</v>
      </c>
      <c r="P29" s="245">
        <v>34</v>
      </c>
      <c r="Q29" s="246">
        <f t="shared" si="2"/>
        <v>39.200000000000003</v>
      </c>
      <c r="R29" s="247">
        <f t="shared" si="0"/>
        <v>4.4939526529988345E-3</v>
      </c>
      <c r="S29" s="232">
        <f t="shared" si="1"/>
        <v>39</v>
      </c>
    </row>
    <row r="30" spans="1:19" ht="11.65" customHeight="1">
      <c r="A30" s="232">
        <f t="shared" si="3"/>
        <v>17</v>
      </c>
      <c r="B30" s="248" t="s">
        <v>251</v>
      </c>
      <c r="C30" s="244" t="s">
        <v>1275</v>
      </c>
      <c r="D30" s="245"/>
      <c r="E30" s="245">
        <v>106</v>
      </c>
      <c r="F30" s="245">
        <v>101</v>
      </c>
      <c r="G30" s="245">
        <v>97</v>
      </c>
      <c r="H30" s="245">
        <v>98</v>
      </c>
      <c r="I30" s="245">
        <v>104</v>
      </c>
      <c r="J30" s="245">
        <v>115</v>
      </c>
      <c r="K30" s="245">
        <v>42</v>
      </c>
      <c r="L30" s="245">
        <v>41</v>
      </c>
      <c r="M30" s="245">
        <v>115</v>
      </c>
      <c r="N30" s="245">
        <v>105</v>
      </c>
      <c r="O30" s="245">
        <v>104</v>
      </c>
      <c r="P30" s="245">
        <v>104</v>
      </c>
      <c r="Q30" s="246">
        <f>ROUND(SUM(E30:P30)/12,1)</f>
        <v>94.3</v>
      </c>
      <c r="R30" s="247">
        <f t="shared" si="0"/>
        <v>1.0810707530045665E-2</v>
      </c>
      <c r="S30" s="232">
        <f t="shared" si="1"/>
        <v>94</v>
      </c>
    </row>
    <row r="31" spans="1:19" ht="11.65" customHeight="1">
      <c r="A31" s="232">
        <f t="shared" si="3"/>
        <v>18</v>
      </c>
      <c r="C31" s="244" t="s">
        <v>1276</v>
      </c>
      <c r="D31" s="245"/>
      <c r="E31" s="245">
        <v>163</v>
      </c>
      <c r="F31" s="245">
        <v>155</v>
      </c>
      <c r="G31" s="245">
        <v>141</v>
      </c>
      <c r="H31" s="245">
        <v>92</v>
      </c>
      <c r="I31" s="245">
        <v>131</v>
      </c>
      <c r="J31" s="245">
        <v>152</v>
      </c>
      <c r="K31" s="245">
        <v>149</v>
      </c>
      <c r="L31" s="245">
        <v>137</v>
      </c>
      <c r="M31" s="245">
        <v>136</v>
      </c>
      <c r="N31" s="245">
        <v>91</v>
      </c>
      <c r="O31" s="245">
        <v>113</v>
      </c>
      <c r="P31" s="245">
        <v>210</v>
      </c>
      <c r="Q31" s="249">
        <f t="shared" si="2"/>
        <v>139.19999999999999</v>
      </c>
      <c r="R31" s="247">
        <f t="shared" si="0"/>
        <v>1.5958117584118307E-2</v>
      </c>
      <c r="S31" s="232">
        <f t="shared" si="1"/>
        <v>139</v>
      </c>
    </row>
    <row r="32" spans="1:19" ht="11.65" customHeight="1">
      <c r="A32" s="232">
        <f t="shared" si="3"/>
        <v>19</v>
      </c>
      <c r="C32" s="244" t="s">
        <v>1277</v>
      </c>
      <c r="D32" s="245"/>
      <c r="E32" s="245">
        <v>48</v>
      </c>
      <c r="F32" s="245">
        <v>45</v>
      </c>
      <c r="G32" s="245">
        <v>38</v>
      </c>
      <c r="H32" s="245">
        <v>26</v>
      </c>
      <c r="I32" s="245">
        <v>43</v>
      </c>
      <c r="J32" s="245">
        <v>54</v>
      </c>
      <c r="K32" s="245">
        <v>57</v>
      </c>
      <c r="L32" s="245">
        <v>54</v>
      </c>
      <c r="M32" s="245">
        <v>53</v>
      </c>
      <c r="N32" s="245">
        <v>31</v>
      </c>
      <c r="O32" s="245">
        <v>38</v>
      </c>
      <c r="P32" s="245">
        <v>58</v>
      </c>
      <c r="Q32" s="249">
        <f t="shared" ref="Q32" si="4">ROUND(SUM(E32:P32)/12,1)</f>
        <v>45.4</v>
      </c>
      <c r="R32" s="247">
        <f t="shared" ref="R32" si="5">+Q32/Q$33</f>
        <v>5.2047308787282415E-3</v>
      </c>
      <c r="S32" s="232">
        <f t="shared" ref="S32:S33" si="6">ROUND(Q32,0)</f>
        <v>45</v>
      </c>
    </row>
    <row r="33" spans="1:20" ht="11.65" customHeight="1">
      <c r="A33" s="232">
        <f t="shared" si="3"/>
        <v>20</v>
      </c>
      <c r="B33" s="248" t="s">
        <v>571</v>
      </c>
      <c r="C33" s="232"/>
      <c r="D33" s="236"/>
      <c r="E33" s="250">
        <f>SUM(E14:E32)</f>
        <v>8458</v>
      </c>
      <c r="F33" s="250">
        <f t="shared" ref="F33:P33" si="7">SUM(F14:F32)</f>
        <v>8191</v>
      </c>
      <c r="G33" s="250">
        <f t="shared" si="7"/>
        <v>7276</v>
      </c>
      <c r="H33" s="250">
        <f t="shared" si="7"/>
        <v>6460</v>
      </c>
      <c r="I33" s="250">
        <f t="shared" si="7"/>
        <v>8832</v>
      </c>
      <c r="J33" s="250">
        <f t="shared" si="7"/>
        <v>10279</v>
      </c>
      <c r="K33" s="250">
        <f t="shared" si="7"/>
        <v>10767</v>
      </c>
      <c r="L33" s="250">
        <f t="shared" si="7"/>
        <v>10493</v>
      </c>
      <c r="M33" s="250">
        <f t="shared" si="7"/>
        <v>9743</v>
      </c>
      <c r="N33" s="250">
        <f t="shared" si="7"/>
        <v>7047</v>
      </c>
      <c r="O33" s="250">
        <f t="shared" si="7"/>
        <v>7214</v>
      </c>
      <c r="P33" s="250">
        <f t="shared" si="7"/>
        <v>9914</v>
      </c>
      <c r="Q33" s="251">
        <f>SUM(E33:P33)/12</f>
        <v>8722.8333333333339</v>
      </c>
      <c r="R33" s="226" t="s">
        <v>572</v>
      </c>
      <c r="S33" s="248">
        <f t="shared" si="6"/>
        <v>8723</v>
      </c>
      <c r="T33" s="226" t="s">
        <v>573</v>
      </c>
    </row>
    <row r="34" spans="1:20" s="252" customFormat="1" ht="9.75" customHeight="1">
      <c r="A34" s="232"/>
      <c r="C34" s="232"/>
      <c r="D34" s="232"/>
      <c r="E34" s="253"/>
      <c r="F34" s="232"/>
      <c r="G34" s="232"/>
      <c r="H34" s="232"/>
      <c r="I34" s="232"/>
      <c r="J34" s="232"/>
      <c r="K34" s="232"/>
      <c r="L34" s="226"/>
      <c r="M34" s="226"/>
      <c r="N34" s="226"/>
      <c r="O34" s="226"/>
      <c r="P34" s="226"/>
      <c r="Q34" s="254"/>
      <c r="R34" s="255"/>
    </row>
    <row r="35" spans="1:20" ht="11.65" customHeight="1">
      <c r="C35" s="254"/>
      <c r="D35" s="254"/>
      <c r="E35" s="254"/>
      <c r="F35" s="254"/>
      <c r="G35" s="254"/>
      <c r="H35" s="254"/>
      <c r="I35" s="254"/>
      <c r="J35" s="254"/>
      <c r="K35" s="254"/>
      <c r="L35" s="254"/>
      <c r="M35" s="254"/>
      <c r="N35" s="254"/>
      <c r="O35" s="254"/>
      <c r="P35" s="254"/>
      <c r="Q35" s="232"/>
      <c r="R35" s="227" t="s">
        <v>251</v>
      </c>
    </row>
    <row r="36" spans="1:20" ht="11.65" customHeight="1">
      <c r="B36" s="256" t="s">
        <v>567</v>
      </c>
      <c r="C36" s="257"/>
      <c r="D36" s="257"/>
      <c r="E36" s="232"/>
      <c r="F36" s="232"/>
      <c r="G36" s="232"/>
      <c r="H36" s="232"/>
      <c r="I36" s="232"/>
      <c r="J36" s="232"/>
      <c r="K36" s="232"/>
      <c r="L36" s="232"/>
      <c r="M36" s="232"/>
      <c r="N36" s="232"/>
      <c r="O36" s="232"/>
      <c r="P36" s="232"/>
      <c r="Q36" s="232"/>
    </row>
    <row r="37" spans="1:20" ht="11.25" customHeight="1">
      <c r="A37" s="232">
        <f>+A33+1</f>
        <v>21</v>
      </c>
      <c r="B37" s="248" t="s">
        <v>568</v>
      </c>
      <c r="C37" s="232"/>
      <c r="D37" s="258" t="s">
        <v>1356</v>
      </c>
      <c r="E37" s="245">
        <v>2912</v>
      </c>
      <c r="F37" s="245">
        <v>2770</v>
      </c>
      <c r="G37" s="245">
        <v>2462</v>
      </c>
      <c r="H37" s="245">
        <v>2405</v>
      </c>
      <c r="I37" s="245">
        <v>3493</v>
      </c>
      <c r="J37" s="245">
        <v>4018</v>
      </c>
      <c r="K37" s="245">
        <v>4242</v>
      </c>
      <c r="L37" s="245">
        <v>4164</v>
      </c>
      <c r="M37" s="245">
        <v>3910</v>
      </c>
      <c r="N37" s="245">
        <v>2771</v>
      </c>
      <c r="O37" s="245">
        <v>2571</v>
      </c>
      <c r="P37" s="245">
        <v>3161</v>
      </c>
      <c r="Q37" s="232"/>
    </row>
    <row r="38" spans="1:20" ht="11.25" customHeight="1">
      <c r="A38" s="232">
        <f>+A37+1</f>
        <v>22</v>
      </c>
      <c r="B38" s="232"/>
      <c r="C38" s="232"/>
      <c r="D38" s="258" t="s">
        <v>1357</v>
      </c>
      <c r="E38" s="245">
        <v>-7</v>
      </c>
      <c r="F38" s="245">
        <v>-6</v>
      </c>
      <c r="G38" s="245">
        <v>-7</v>
      </c>
      <c r="H38" s="245">
        <v>-6</v>
      </c>
      <c r="I38" s="245">
        <v>-7</v>
      </c>
      <c r="J38" s="245">
        <v>-6</v>
      </c>
      <c r="K38" s="245">
        <v>-6</v>
      </c>
      <c r="L38" s="245">
        <v>-6</v>
      </c>
      <c r="M38" s="245">
        <v>-6</v>
      </c>
      <c r="N38" s="245">
        <v>-7</v>
      </c>
      <c r="O38" s="245">
        <v>-7</v>
      </c>
      <c r="P38" s="245">
        <v>-6</v>
      </c>
      <c r="Q38" s="232"/>
    </row>
    <row r="39" spans="1:20" ht="12.75" customHeight="1">
      <c r="A39" s="232">
        <f t="shared" ref="A39:A46" si="8">+A38+1</f>
        <v>23</v>
      </c>
      <c r="B39" s="232"/>
      <c r="C39" s="232"/>
      <c r="D39" s="258" t="s">
        <v>1358</v>
      </c>
      <c r="E39" s="245">
        <v>-7</v>
      </c>
      <c r="F39" s="245">
        <v>-5</v>
      </c>
      <c r="G39" s="245">
        <v>-5</v>
      </c>
      <c r="H39" s="245">
        <v>-4</v>
      </c>
      <c r="I39" s="245">
        <v>-5</v>
      </c>
      <c r="J39" s="245">
        <v>-6</v>
      </c>
      <c r="K39" s="245">
        <v>-6</v>
      </c>
      <c r="L39" s="245">
        <v>-7</v>
      </c>
      <c r="M39" s="245">
        <v>-6</v>
      </c>
      <c r="N39" s="245">
        <v>-4</v>
      </c>
      <c r="O39" s="245">
        <v>-3</v>
      </c>
      <c r="P39" s="245">
        <v>-5</v>
      </c>
    </row>
    <row r="40" spans="1:20" ht="17.25" customHeight="1" thickBot="1">
      <c r="B40" s="232"/>
      <c r="C40" s="248" t="s">
        <v>574</v>
      </c>
      <c r="D40" s="248"/>
      <c r="E40" s="259">
        <f t="shared" ref="E40:P40" si="9">SUM(E37:E39)</f>
        <v>2898</v>
      </c>
      <c r="F40" s="259">
        <f t="shared" si="9"/>
        <v>2759</v>
      </c>
      <c r="G40" s="259">
        <f t="shared" si="9"/>
        <v>2450</v>
      </c>
      <c r="H40" s="259">
        <f t="shared" si="9"/>
        <v>2395</v>
      </c>
      <c r="I40" s="259">
        <f t="shared" si="9"/>
        <v>3481</v>
      </c>
      <c r="J40" s="259">
        <f t="shared" si="9"/>
        <v>4006</v>
      </c>
      <c r="K40" s="259">
        <f t="shared" si="9"/>
        <v>4230</v>
      </c>
      <c r="L40" s="259">
        <f t="shared" si="9"/>
        <v>4151</v>
      </c>
      <c r="M40" s="259">
        <f t="shared" si="9"/>
        <v>3898</v>
      </c>
      <c r="N40" s="259">
        <f t="shared" si="9"/>
        <v>2760</v>
      </c>
      <c r="O40" s="259">
        <f t="shared" si="9"/>
        <v>2561</v>
      </c>
      <c r="P40" s="259">
        <f t="shared" si="9"/>
        <v>3150</v>
      </c>
      <c r="Q40" s="1928">
        <f>SUM(E40:P40)/12</f>
        <v>3228.25</v>
      </c>
      <c r="S40" s="226">
        <f>ROUND(Q40,0)</f>
        <v>3228</v>
      </c>
    </row>
    <row r="41" spans="1:20" ht="11.65" customHeight="1" thickTop="1">
      <c r="A41" s="232">
        <f>+A39+1</f>
        <v>24</v>
      </c>
      <c r="B41" s="248" t="s">
        <v>569</v>
      </c>
      <c r="C41" s="232"/>
      <c r="D41" s="232"/>
      <c r="E41" s="232"/>
      <c r="F41" s="232"/>
      <c r="G41" s="232"/>
      <c r="H41" s="232"/>
      <c r="I41" s="232"/>
      <c r="J41" s="232" t="s">
        <v>251</v>
      </c>
      <c r="K41" s="232"/>
      <c r="L41" s="232"/>
      <c r="M41" s="232"/>
      <c r="N41" s="232"/>
      <c r="O41" s="232"/>
      <c r="P41" s="232"/>
      <c r="Q41" s="232"/>
    </row>
    <row r="42" spans="1:20" ht="11.65" customHeight="1">
      <c r="A42" s="232">
        <f t="shared" si="8"/>
        <v>25</v>
      </c>
      <c r="B42" s="232"/>
      <c r="C42" s="232"/>
      <c r="D42" s="258" t="s">
        <v>1359</v>
      </c>
      <c r="E42" s="245">
        <v>3896</v>
      </c>
      <c r="F42" s="245">
        <v>3854</v>
      </c>
      <c r="G42" s="245">
        <v>3418</v>
      </c>
      <c r="H42" s="245">
        <v>2908</v>
      </c>
      <c r="I42" s="245">
        <v>3892</v>
      </c>
      <c r="J42" s="245">
        <v>4530</v>
      </c>
      <c r="K42" s="245">
        <v>4741</v>
      </c>
      <c r="L42" s="245">
        <v>4645</v>
      </c>
      <c r="M42" s="245">
        <v>4240</v>
      </c>
      <c r="N42" s="245">
        <v>3104</v>
      </c>
      <c r="O42" s="245">
        <v>3310</v>
      </c>
      <c r="P42" s="245">
        <v>4918</v>
      </c>
      <c r="Q42" s="232"/>
    </row>
    <row r="43" spans="1:20" ht="11.65" customHeight="1">
      <c r="A43" s="232">
        <f t="shared" si="8"/>
        <v>26</v>
      </c>
      <c r="B43" s="232"/>
      <c r="C43" s="232"/>
      <c r="D43" s="258" t="s">
        <v>1360</v>
      </c>
      <c r="E43" s="245">
        <v>172</v>
      </c>
      <c r="F43" s="245">
        <v>176</v>
      </c>
      <c r="G43" s="245">
        <v>172</v>
      </c>
      <c r="H43" s="245">
        <v>174</v>
      </c>
      <c r="I43" s="245">
        <v>119</v>
      </c>
      <c r="J43" s="245">
        <v>128</v>
      </c>
      <c r="K43" s="245">
        <v>122</v>
      </c>
      <c r="L43" s="245">
        <v>125</v>
      </c>
      <c r="M43" s="245">
        <v>118</v>
      </c>
      <c r="N43" s="245">
        <v>109</v>
      </c>
      <c r="O43" s="245">
        <v>123</v>
      </c>
      <c r="P43" s="245">
        <v>1</v>
      </c>
      <c r="Q43" s="232"/>
    </row>
    <row r="44" spans="1:20" ht="11.65" customHeight="1">
      <c r="A44" s="232">
        <f t="shared" si="8"/>
        <v>27</v>
      </c>
      <c r="B44" s="232"/>
      <c r="C44" s="232"/>
      <c r="D44" s="258" t="s">
        <v>1361</v>
      </c>
      <c r="E44" s="245">
        <v>-163</v>
      </c>
      <c r="F44" s="245">
        <v>-155</v>
      </c>
      <c r="G44" s="245">
        <v>-141</v>
      </c>
      <c r="H44" s="245">
        <v>-92</v>
      </c>
      <c r="I44" s="245">
        <v>-131</v>
      </c>
      <c r="J44" s="245">
        <v>-152</v>
      </c>
      <c r="K44" s="245">
        <v>-149</v>
      </c>
      <c r="L44" s="245">
        <v>-137</v>
      </c>
      <c r="M44" s="245">
        <v>-136</v>
      </c>
      <c r="N44" s="245">
        <v>-91</v>
      </c>
      <c r="O44" s="245">
        <v>-113</v>
      </c>
      <c r="P44" s="245">
        <v>-210</v>
      </c>
      <c r="Q44" s="232"/>
    </row>
    <row r="45" spans="1:20" ht="11.65" customHeight="1">
      <c r="A45" s="232">
        <f t="shared" si="8"/>
        <v>28</v>
      </c>
      <c r="B45" s="232"/>
      <c r="C45" s="232"/>
      <c r="D45" s="258" t="s">
        <v>1362</v>
      </c>
      <c r="E45" s="245">
        <v>0</v>
      </c>
      <c r="F45" s="245">
        <v>0</v>
      </c>
      <c r="G45" s="245">
        <v>0</v>
      </c>
      <c r="H45" s="245">
        <v>0</v>
      </c>
      <c r="I45" s="245">
        <v>0</v>
      </c>
      <c r="J45" s="245">
        <v>0</v>
      </c>
      <c r="K45" s="245">
        <v>0</v>
      </c>
      <c r="L45" s="245">
        <v>0</v>
      </c>
      <c r="M45" s="245">
        <v>0</v>
      </c>
      <c r="N45" s="245">
        <v>0</v>
      </c>
      <c r="O45" s="245">
        <v>0</v>
      </c>
      <c r="P45" s="245">
        <v>0</v>
      </c>
      <c r="Q45" s="232"/>
    </row>
    <row r="46" spans="1:20" ht="15" customHeight="1" thickBot="1">
      <c r="A46" s="232">
        <f t="shared" si="8"/>
        <v>29</v>
      </c>
      <c r="B46" s="232"/>
      <c r="C46" s="248" t="s">
        <v>575</v>
      </c>
      <c r="D46" s="248"/>
      <c r="E46" s="259">
        <f>SUM(E42:E45)</f>
        <v>3905</v>
      </c>
      <c r="F46" s="259">
        <f t="shared" ref="F46:P46" si="10">SUM(F42:F45)</f>
        <v>3875</v>
      </c>
      <c r="G46" s="259">
        <f t="shared" si="10"/>
        <v>3449</v>
      </c>
      <c r="H46" s="259">
        <f t="shared" si="10"/>
        <v>2990</v>
      </c>
      <c r="I46" s="259">
        <f t="shared" si="10"/>
        <v>3880</v>
      </c>
      <c r="J46" s="259">
        <f t="shared" si="10"/>
        <v>4506</v>
      </c>
      <c r="K46" s="259">
        <f t="shared" si="10"/>
        <v>4714</v>
      </c>
      <c r="L46" s="259">
        <f t="shared" si="10"/>
        <v>4633</v>
      </c>
      <c r="M46" s="259">
        <f t="shared" si="10"/>
        <v>4222</v>
      </c>
      <c r="N46" s="259">
        <f t="shared" si="10"/>
        <v>3122</v>
      </c>
      <c r="O46" s="259">
        <f t="shared" si="10"/>
        <v>3320</v>
      </c>
      <c r="P46" s="259">
        <f t="shared" si="10"/>
        <v>4709</v>
      </c>
      <c r="Q46" s="1928">
        <f>SUM(E46:P46)/12</f>
        <v>3943.75</v>
      </c>
      <c r="S46" s="226">
        <f>ROUND(Q46,0)</f>
        <v>3944</v>
      </c>
    </row>
    <row r="47" spans="1:20" ht="11.65" customHeight="1" thickTop="1">
      <c r="B47" s="232"/>
      <c r="C47" s="232"/>
      <c r="D47" s="232"/>
      <c r="E47" s="232"/>
      <c r="F47" s="232"/>
      <c r="G47" s="232"/>
      <c r="H47" s="232"/>
      <c r="I47" s="232"/>
      <c r="J47" s="232"/>
      <c r="K47" s="232"/>
      <c r="L47" s="232"/>
      <c r="M47" s="232"/>
      <c r="N47" s="232"/>
      <c r="O47" s="232"/>
      <c r="P47" s="232"/>
      <c r="Q47" s="232"/>
    </row>
    <row r="48" spans="1:20">
      <c r="A48" s="232">
        <f>+A46+1</f>
        <v>30</v>
      </c>
      <c r="B48" s="248" t="s">
        <v>579</v>
      </c>
      <c r="C48" s="248"/>
      <c r="D48" s="248"/>
      <c r="E48" s="232"/>
      <c r="F48" s="232"/>
      <c r="G48" s="232"/>
      <c r="H48" s="232"/>
      <c r="I48" s="232"/>
      <c r="J48" s="232"/>
      <c r="K48" s="232"/>
      <c r="L48" s="232"/>
      <c r="M48" s="232"/>
      <c r="N48" s="232"/>
      <c r="O48" s="232"/>
      <c r="P48" s="232"/>
      <c r="Q48" s="260" t="s">
        <v>576</v>
      </c>
      <c r="R48" s="261" t="s">
        <v>577</v>
      </c>
      <c r="S48" s="262">
        <f>ROUND(Q57,0)</f>
        <v>8723</v>
      </c>
    </row>
    <row r="49" spans="1:159">
      <c r="A49" s="226"/>
      <c r="B49" s="263"/>
      <c r="C49" s="248"/>
      <c r="D49" s="248"/>
      <c r="G49" s="232"/>
      <c r="R49" s="226"/>
    </row>
    <row r="50" spans="1:159" ht="13.5" thickBot="1">
      <c r="A50" s="226"/>
      <c r="B50" s="264" t="s">
        <v>578</v>
      </c>
      <c r="C50" s="265"/>
      <c r="D50" s="242"/>
      <c r="G50" s="232"/>
    </row>
    <row r="51" spans="1:159">
      <c r="A51" s="226">
        <f>+A48+1</f>
        <v>31</v>
      </c>
      <c r="B51" s="232"/>
      <c r="D51" s="263" t="s">
        <v>1282</v>
      </c>
      <c r="E51" s="232">
        <f t="shared" ref="E51:P51" si="11">+E14</f>
        <v>2899</v>
      </c>
      <c r="F51" s="232">
        <f t="shared" si="11"/>
        <v>2759</v>
      </c>
      <c r="G51" s="232">
        <f t="shared" si="11"/>
        <v>2450</v>
      </c>
      <c r="H51" s="232">
        <f t="shared" si="11"/>
        <v>2395</v>
      </c>
      <c r="I51" s="232">
        <f t="shared" si="11"/>
        <v>3482</v>
      </c>
      <c r="J51" s="232">
        <f t="shared" si="11"/>
        <v>4006</v>
      </c>
      <c r="K51" s="232">
        <f t="shared" si="11"/>
        <v>4230</v>
      </c>
      <c r="L51" s="232">
        <f t="shared" si="11"/>
        <v>4151</v>
      </c>
      <c r="M51" s="232">
        <f t="shared" si="11"/>
        <v>3898</v>
      </c>
      <c r="N51" s="232">
        <f t="shared" si="11"/>
        <v>2760</v>
      </c>
      <c r="O51" s="232">
        <f t="shared" si="11"/>
        <v>2561</v>
      </c>
      <c r="P51" s="232">
        <f t="shared" si="11"/>
        <v>3150</v>
      </c>
      <c r="Q51" s="251">
        <f t="shared" ref="Q51:Q56" si="12">SUM(E51:P51)/12</f>
        <v>3228.4166666666665</v>
      </c>
      <c r="S51" s="232">
        <f t="shared" ref="S51:S57" si="13">ROUND(Q51,0)</f>
        <v>3228</v>
      </c>
    </row>
    <row r="52" spans="1:159">
      <c r="A52" s="226">
        <f t="shared" ref="A52:A57" si="14">+A51+1</f>
        <v>32</v>
      </c>
      <c r="B52" s="232"/>
      <c r="C52" s="232"/>
      <c r="D52" s="263" t="s">
        <v>1283</v>
      </c>
      <c r="E52" s="232">
        <v>0</v>
      </c>
      <c r="F52" s="232">
        <v>0</v>
      </c>
      <c r="G52" s="232">
        <v>0</v>
      </c>
      <c r="H52" s="232">
        <v>0</v>
      </c>
      <c r="I52" s="232">
        <v>0</v>
      </c>
      <c r="J52" s="232">
        <v>0</v>
      </c>
      <c r="K52" s="232">
        <v>0</v>
      </c>
      <c r="L52" s="232">
        <v>0</v>
      </c>
      <c r="M52" s="232">
        <v>0</v>
      </c>
      <c r="N52" s="232">
        <v>0</v>
      </c>
      <c r="O52" s="232">
        <v>0</v>
      </c>
      <c r="P52" s="232">
        <v>0</v>
      </c>
      <c r="Q52" s="251">
        <f t="shared" si="12"/>
        <v>0</v>
      </c>
      <c r="S52" s="232">
        <f t="shared" si="13"/>
        <v>0</v>
      </c>
    </row>
    <row r="53" spans="1:159">
      <c r="A53" s="226">
        <f t="shared" si="14"/>
        <v>33</v>
      </c>
      <c r="B53" s="232"/>
      <c r="C53" s="232"/>
      <c r="D53" s="263" t="s">
        <v>1284</v>
      </c>
      <c r="E53" s="232">
        <v>0</v>
      </c>
      <c r="F53" s="232">
        <v>0</v>
      </c>
      <c r="G53" s="232">
        <v>0</v>
      </c>
      <c r="H53" s="232">
        <v>0</v>
      </c>
      <c r="I53" s="232">
        <v>0</v>
      </c>
      <c r="J53" s="232">
        <v>0</v>
      </c>
      <c r="K53" s="232">
        <v>0</v>
      </c>
      <c r="L53" s="232">
        <v>0</v>
      </c>
      <c r="M53" s="232">
        <v>0</v>
      </c>
      <c r="N53" s="232">
        <v>0</v>
      </c>
      <c r="O53" s="232">
        <v>0</v>
      </c>
      <c r="P53" s="232">
        <v>0</v>
      </c>
      <c r="Q53" s="251">
        <f t="shared" si="12"/>
        <v>0</v>
      </c>
      <c r="S53" s="232">
        <f t="shared" si="13"/>
        <v>0</v>
      </c>
    </row>
    <row r="54" spans="1:159">
      <c r="A54" s="226">
        <f t="shared" si="14"/>
        <v>34</v>
      </c>
      <c r="B54" s="232"/>
      <c r="C54" s="232"/>
      <c r="D54" s="263" t="s">
        <v>1285</v>
      </c>
      <c r="E54" s="232">
        <f>+E51-E52-E53</f>
        <v>2899</v>
      </c>
      <c r="F54" s="232">
        <f t="shared" ref="F54:P54" si="15">+F51-F52-F53</f>
        <v>2759</v>
      </c>
      <c r="G54" s="232">
        <f t="shared" si="15"/>
        <v>2450</v>
      </c>
      <c r="H54" s="232">
        <f t="shared" si="15"/>
        <v>2395</v>
      </c>
      <c r="I54" s="232">
        <f t="shared" si="15"/>
        <v>3482</v>
      </c>
      <c r="J54" s="232">
        <f t="shared" si="15"/>
        <v>4006</v>
      </c>
      <c r="K54" s="232">
        <f t="shared" si="15"/>
        <v>4230</v>
      </c>
      <c r="L54" s="232">
        <f t="shared" si="15"/>
        <v>4151</v>
      </c>
      <c r="M54" s="232">
        <f t="shared" si="15"/>
        <v>3898</v>
      </c>
      <c r="N54" s="232">
        <f t="shared" si="15"/>
        <v>2760</v>
      </c>
      <c r="O54" s="232">
        <f t="shared" si="15"/>
        <v>2561</v>
      </c>
      <c r="P54" s="232">
        <f t="shared" si="15"/>
        <v>3150</v>
      </c>
      <c r="Q54" s="251">
        <f t="shared" si="12"/>
        <v>3228.4166666666665</v>
      </c>
      <c r="S54" s="232">
        <f t="shared" si="13"/>
        <v>3228</v>
      </c>
    </row>
    <row r="55" spans="1:159">
      <c r="A55" s="226">
        <f t="shared" si="14"/>
        <v>35</v>
      </c>
      <c r="B55" s="232"/>
      <c r="C55" s="232"/>
      <c r="D55" s="263" t="s">
        <v>1286</v>
      </c>
      <c r="E55" s="232">
        <f t="shared" ref="E55:P55" si="16">+E15</f>
        <v>2921</v>
      </c>
      <c r="F55" s="232">
        <f t="shared" si="16"/>
        <v>2853</v>
      </c>
      <c r="G55" s="232">
        <f t="shared" si="16"/>
        <v>2560</v>
      </c>
      <c r="H55" s="232">
        <f t="shared" si="16"/>
        <v>2434</v>
      </c>
      <c r="I55" s="232">
        <f t="shared" si="16"/>
        <v>3117</v>
      </c>
      <c r="J55" s="232">
        <f t="shared" si="16"/>
        <v>3536</v>
      </c>
      <c r="K55" s="232">
        <f t="shared" si="16"/>
        <v>3696</v>
      </c>
      <c r="L55" s="232">
        <f t="shared" si="16"/>
        <v>3632</v>
      </c>
      <c r="M55" s="232">
        <f t="shared" si="16"/>
        <v>3337</v>
      </c>
      <c r="N55" s="232">
        <f t="shared" si="16"/>
        <v>2496</v>
      </c>
      <c r="O55" s="232">
        <f t="shared" si="16"/>
        <v>2518</v>
      </c>
      <c r="P55" s="232">
        <f t="shared" si="16"/>
        <v>3399</v>
      </c>
      <c r="Q55" s="251">
        <f t="shared" si="12"/>
        <v>3041.5833333333335</v>
      </c>
      <c r="S55" s="232">
        <f t="shared" si="13"/>
        <v>3042</v>
      </c>
    </row>
    <row r="56" spans="1:159" ht="13.5" thickBot="1">
      <c r="A56" s="226">
        <f t="shared" si="14"/>
        <v>36</v>
      </c>
      <c r="C56" s="263" t="s">
        <v>579</v>
      </c>
      <c r="D56" s="263"/>
      <c r="E56" s="266">
        <f>+E54+E55</f>
        <v>5820</v>
      </c>
      <c r="F56" s="266">
        <f t="shared" ref="F56:P56" si="17">+F54+F55</f>
        <v>5612</v>
      </c>
      <c r="G56" s="266">
        <f t="shared" si="17"/>
        <v>5010</v>
      </c>
      <c r="H56" s="266">
        <f t="shared" si="17"/>
        <v>4829</v>
      </c>
      <c r="I56" s="266">
        <f t="shared" si="17"/>
        <v>6599</v>
      </c>
      <c r="J56" s="266">
        <f t="shared" si="17"/>
        <v>7542</v>
      </c>
      <c r="K56" s="266">
        <f t="shared" si="17"/>
        <v>7926</v>
      </c>
      <c r="L56" s="266">
        <f t="shared" si="17"/>
        <v>7783</v>
      </c>
      <c r="M56" s="266">
        <f t="shared" si="17"/>
        <v>7235</v>
      </c>
      <c r="N56" s="266">
        <f t="shared" si="17"/>
        <v>5256</v>
      </c>
      <c r="O56" s="266">
        <f t="shared" si="17"/>
        <v>5079</v>
      </c>
      <c r="P56" s="266">
        <f t="shared" si="17"/>
        <v>6549</v>
      </c>
      <c r="Q56" s="251">
        <f t="shared" si="12"/>
        <v>6270</v>
      </c>
      <c r="S56" s="232">
        <f t="shared" si="13"/>
        <v>6270</v>
      </c>
    </row>
    <row r="57" spans="1:159" ht="14.25" thickTop="1" thickBot="1">
      <c r="A57" s="226">
        <f t="shared" si="14"/>
        <v>37</v>
      </c>
      <c r="C57" s="227"/>
      <c r="D57" s="267" t="s">
        <v>580</v>
      </c>
      <c r="E57" s="266">
        <f t="shared" ref="E57:P57" si="18">E33-E52-E53</f>
        <v>8458</v>
      </c>
      <c r="F57" s="266">
        <f t="shared" si="18"/>
        <v>8191</v>
      </c>
      <c r="G57" s="266">
        <f t="shared" si="18"/>
        <v>7276</v>
      </c>
      <c r="H57" s="266">
        <f t="shared" si="18"/>
        <v>6460</v>
      </c>
      <c r="I57" s="266">
        <f t="shared" si="18"/>
        <v>8832</v>
      </c>
      <c r="J57" s="266">
        <f t="shared" si="18"/>
        <v>10279</v>
      </c>
      <c r="K57" s="266">
        <f t="shared" si="18"/>
        <v>10767</v>
      </c>
      <c r="L57" s="266">
        <f t="shared" si="18"/>
        <v>10493</v>
      </c>
      <c r="M57" s="266">
        <f t="shared" si="18"/>
        <v>9743</v>
      </c>
      <c r="N57" s="266">
        <f t="shared" si="18"/>
        <v>7047</v>
      </c>
      <c r="O57" s="266">
        <f t="shared" si="18"/>
        <v>7214</v>
      </c>
      <c r="P57" s="266">
        <f t="shared" si="18"/>
        <v>9914</v>
      </c>
      <c r="Q57" s="251">
        <f>SUM(E57:P57)/12</f>
        <v>8722.8333333333339</v>
      </c>
      <c r="S57" s="232">
        <f t="shared" si="13"/>
        <v>8723</v>
      </c>
    </row>
    <row r="58" spans="1:159" ht="13.5" thickTop="1">
      <c r="A58" s="226"/>
      <c r="C58" s="227"/>
      <c r="D58" s="267"/>
      <c r="E58" s="254"/>
      <c r="F58" s="254"/>
      <c r="G58" s="254"/>
      <c r="H58" s="254"/>
      <c r="I58" s="254"/>
      <c r="J58" s="254"/>
      <c r="K58" s="254"/>
      <c r="L58" s="254"/>
      <c r="M58" s="254"/>
      <c r="N58" s="254"/>
      <c r="O58" s="254"/>
      <c r="P58" s="254"/>
      <c r="Q58" s="268"/>
    </row>
    <row r="59" spans="1:159" s="1914" customFormat="1" ht="12">
      <c r="A59" s="1911"/>
      <c r="B59" s="1912" t="s">
        <v>1015</v>
      </c>
      <c r="C59" s="1913" t="s">
        <v>1016</v>
      </c>
      <c r="D59" s="1911" t="s">
        <v>1017</v>
      </c>
      <c r="I59" s="1915"/>
      <c r="J59" s="1915"/>
      <c r="K59" s="1915"/>
      <c r="L59" s="1915"/>
      <c r="M59" s="1915"/>
      <c r="N59" s="1915"/>
      <c r="O59" s="1915"/>
      <c r="P59" s="1915"/>
      <c r="R59" s="1915"/>
    </row>
    <row r="60" spans="1:159" s="1918" customFormat="1" ht="68.25" customHeight="1">
      <c r="A60" s="1910"/>
      <c r="B60" s="1910"/>
      <c r="C60" s="1916" t="s">
        <v>1018</v>
      </c>
      <c r="D60" s="2169" t="s">
        <v>1019</v>
      </c>
      <c r="E60" s="2169"/>
      <c r="F60" s="2169"/>
      <c r="G60" s="2169"/>
      <c r="H60" s="2169"/>
      <c r="I60" s="2169"/>
      <c r="J60" s="2169"/>
      <c r="K60" s="2169"/>
      <c r="L60" s="2169"/>
      <c r="M60" s="2169"/>
      <c r="N60" s="2169"/>
      <c r="O60" s="2169"/>
      <c r="P60" s="1910"/>
      <c r="Q60" s="1910"/>
      <c r="R60" s="1917"/>
      <c r="S60" s="1910"/>
      <c r="T60" s="1910"/>
      <c r="U60" s="1910"/>
      <c r="V60" s="1910"/>
      <c r="W60" s="1910"/>
      <c r="X60" s="1910"/>
      <c r="Y60" s="1910"/>
      <c r="Z60" s="1910"/>
      <c r="AA60" s="1910"/>
      <c r="AB60" s="1910"/>
      <c r="AC60" s="1910"/>
      <c r="AD60" s="1910"/>
      <c r="AE60" s="1910"/>
      <c r="AF60" s="1910"/>
      <c r="AG60" s="1910"/>
      <c r="AH60" s="1910"/>
      <c r="AI60" s="1910"/>
      <c r="AJ60" s="1910"/>
      <c r="AK60" s="1910"/>
      <c r="AL60" s="1910"/>
      <c r="AM60" s="1910"/>
      <c r="AN60" s="1910"/>
      <c r="AO60" s="1910"/>
      <c r="AP60" s="1910"/>
      <c r="AQ60" s="1910"/>
      <c r="AR60" s="1910"/>
      <c r="AS60" s="1910"/>
      <c r="AT60" s="1910"/>
      <c r="AU60" s="1910"/>
      <c r="AV60" s="1910"/>
      <c r="AW60" s="1910"/>
      <c r="AX60" s="1910"/>
      <c r="AY60" s="1910"/>
      <c r="AZ60" s="1910"/>
      <c r="BA60" s="1910"/>
      <c r="BB60" s="1910"/>
      <c r="BC60" s="1910"/>
      <c r="BD60" s="1910"/>
      <c r="BE60" s="1910"/>
      <c r="BF60" s="1910"/>
      <c r="BG60" s="1910"/>
      <c r="BH60" s="1910"/>
      <c r="BI60" s="1910"/>
      <c r="BJ60" s="1910"/>
      <c r="BK60" s="1910"/>
      <c r="BL60" s="1910"/>
      <c r="BM60" s="1910"/>
      <c r="BN60" s="1910"/>
      <c r="BO60" s="1910"/>
      <c r="BP60" s="1910"/>
      <c r="BQ60" s="1910"/>
      <c r="BR60" s="1910"/>
      <c r="BS60" s="1910"/>
      <c r="BT60" s="1910"/>
      <c r="BU60" s="1910"/>
      <c r="BV60" s="1910"/>
      <c r="BW60" s="1910"/>
      <c r="BX60" s="1910"/>
      <c r="BY60" s="1910"/>
      <c r="BZ60" s="1910"/>
      <c r="CA60" s="1910"/>
      <c r="CB60" s="1910"/>
      <c r="CC60" s="1910"/>
      <c r="CD60" s="1910"/>
      <c r="CE60" s="1910"/>
      <c r="CF60" s="1910"/>
      <c r="CG60" s="1910"/>
      <c r="CH60" s="1910"/>
      <c r="CI60" s="1910"/>
      <c r="CJ60" s="1910"/>
      <c r="CK60" s="1910"/>
      <c r="CL60" s="1910"/>
      <c r="CM60" s="1910"/>
      <c r="CN60" s="1910"/>
      <c r="CO60" s="1910"/>
      <c r="CP60" s="1910"/>
      <c r="CQ60" s="1910"/>
      <c r="CR60" s="1910"/>
      <c r="CS60" s="1910"/>
      <c r="CT60" s="1910"/>
      <c r="CU60" s="1910"/>
      <c r="CV60" s="1910"/>
      <c r="CW60" s="1910"/>
      <c r="CX60" s="1910"/>
      <c r="CY60" s="1910"/>
      <c r="CZ60" s="1910"/>
      <c r="DA60" s="1910"/>
      <c r="DB60" s="1910"/>
      <c r="DC60" s="1910"/>
      <c r="DD60" s="1910"/>
      <c r="DE60" s="1910"/>
      <c r="DF60" s="1910"/>
      <c r="DG60" s="1910"/>
      <c r="DH60" s="1910"/>
      <c r="DI60" s="1910"/>
      <c r="DJ60" s="1910"/>
      <c r="DK60" s="1910"/>
      <c r="DL60" s="1910"/>
      <c r="DM60" s="1910"/>
      <c r="DN60" s="1910"/>
      <c r="DO60" s="1910"/>
      <c r="DP60" s="1910"/>
      <c r="DQ60" s="1910"/>
      <c r="DR60" s="1910"/>
      <c r="DS60" s="1910"/>
      <c r="DT60" s="1910"/>
      <c r="DU60" s="1910"/>
      <c r="DV60" s="1910"/>
      <c r="DW60" s="1910"/>
      <c r="DX60" s="1910"/>
      <c r="DY60" s="1910"/>
      <c r="DZ60" s="1910"/>
      <c r="EA60" s="1910"/>
      <c r="EB60" s="1910"/>
      <c r="EC60" s="1910"/>
      <c r="ED60" s="1910"/>
      <c r="EE60" s="1910"/>
      <c r="EF60" s="1910"/>
      <c r="EG60" s="1910"/>
      <c r="EH60" s="1910"/>
      <c r="EI60" s="1910"/>
      <c r="EJ60" s="1910"/>
      <c r="EK60" s="1910"/>
      <c r="EL60" s="1910"/>
      <c r="EM60" s="1910"/>
      <c r="EN60" s="1910"/>
      <c r="EO60" s="1910"/>
      <c r="EP60" s="1910"/>
      <c r="EQ60" s="1910"/>
      <c r="ER60" s="1910"/>
      <c r="ES60" s="1910"/>
      <c r="ET60" s="1910"/>
      <c r="EU60" s="1910"/>
      <c r="EV60" s="1910"/>
      <c r="EW60" s="1910"/>
      <c r="EX60" s="1910"/>
      <c r="EY60" s="1910"/>
      <c r="EZ60" s="1910"/>
      <c r="FA60" s="1910"/>
      <c r="FB60" s="1910"/>
      <c r="FC60" s="1910"/>
    </row>
    <row r="61" spans="1:159" s="1914" customFormat="1" ht="12">
      <c r="A61" s="1910"/>
      <c r="B61" s="1910"/>
      <c r="C61" s="2169" t="s">
        <v>1020</v>
      </c>
      <c r="D61" s="2169"/>
      <c r="E61" s="2169"/>
      <c r="F61" s="2169"/>
      <c r="G61" s="2169"/>
      <c r="H61" s="2169"/>
      <c r="I61" s="2169"/>
      <c r="J61" s="2169"/>
      <c r="K61" s="2169"/>
      <c r="L61" s="2169"/>
      <c r="M61" s="2169"/>
      <c r="N61" s="2169"/>
      <c r="O61" s="1916"/>
      <c r="P61" s="1910"/>
      <c r="R61" s="1915"/>
    </row>
    <row r="62" spans="1:159">
      <c r="A62" s="226"/>
      <c r="C62" s="269"/>
      <c r="D62" s="131"/>
    </row>
    <row r="63" spans="1:159">
      <c r="C63" s="269"/>
      <c r="D63" s="269"/>
      <c r="Q63" s="251"/>
      <c r="R63" s="232"/>
    </row>
    <row r="64" spans="1:159">
      <c r="A64" s="226"/>
      <c r="C64" s="269"/>
      <c r="D64" s="131"/>
      <c r="Q64" s="251"/>
      <c r="R64" s="232"/>
    </row>
    <row r="65" spans="1:18">
      <c r="A65" s="226"/>
      <c r="Q65" s="251"/>
      <c r="R65" s="232"/>
    </row>
    <row r="67" spans="1:18">
      <c r="A67" s="226"/>
      <c r="Q67" s="251"/>
    </row>
  </sheetData>
  <mergeCells count="2">
    <mergeCell ref="D60:O60"/>
    <mergeCell ref="C61:N61"/>
  </mergeCells>
  <pageMargins left="0.5" right="0.5" top="0.6" bottom="0.5" header="0.5" footer="0.28999999999999998"/>
  <pageSetup scale="51" orientation="landscape" r:id="rId1"/>
  <headerFooter alignWithMargins="0">
    <oddHeader xml:space="preserve">&amp;C
&amp;RAEP - SPP Transco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20"/>
  <sheetViews>
    <sheetView zoomScale="60" zoomScaleNormal="60" zoomScaleSheetLayoutView="75" zoomScalePageLayoutView="70" workbookViewId="0">
      <selection activeCell="E250" activeCellId="1" sqref="J250 E250"/>
    </sheetView>
  </sheetViews>
  <sheetFormatPr defaultColWidth="11.42578125" defaultRowHeight="15"/>
  <cols>
    <col min="1" max="1" width="4.7109375" style="53" customWidth="1"/>
    <col min="2" max="2" width="7.7109375" style="52" customWidth="1"/>
    <col min="3" max="3" width="1.7109375" style="53" customWidth="1"/>
    <col min="4" max="4" width="63.28515625" style="53" customWidth="1"/>
    <col min="5" max="5" width="37.28515625" style="53" customWidth="1"/>
    <col min="6" max="6" width="26.28515625" style="53" customWidth="1"/>
    <col min="7" max="7" width="20.7109375" style="53" customWidth="1"/>
    <col min="8" max="8" width="18.7109375" style="53" customWidth="1"/>
    <col min="9" max="9" width="9.7109375" style="53" customWidth="1"/>
    <col min="10" max="10" width="21.7109375" style="53" bestFit="1" customWidth="1"/>
    <col min="11" max="11" width="4.7109375" style="53" customWidth="1"/>
    <col min="12" max="12" width="23.5703125" style="53" bestFit="1" customWidth="1"/>
    <col min="13" max="13" width="19.42578125" style="53" customWidth="1"/>
    <col min="14" max="14" width="12.7109375" style="53" customWidth="1"/>
    <col min="15" max="15" width="3.28515625" style="53" customWidth="1"/>
    <col min="16" max="16" width="21.7109375" style="53" customWidth="1"/>
    <col min="17" max="17" width="11.42578125" style="53" customWidth="1"/>
    <col min="18" max="18" width="20.5703125" style="53" bestFit="1" customWidth="1"/>
    <col min="19" max="16384" width="11.42578125" style="53"/>
  </cols>
  <sheetData>
    <row r="2" spans="2:16" ht="15.75">
      <c r="D2" s="270"/>
      <c r="E2" s="271"/>
      <c r="F2" s="271"/>
      <c r="G2" s="272"/>
      <c r="I2" s="273"/>
      <c r="J2" s="273"/>
      <c r="K2" s="273"/>
      <c r="N2" s="2159">
        <v>2022</v>
      </c>
      <c r="P2" s="53" t="s">
        <v>415</v>
      </c>
    </row>
    <row r="3" spans="2:16">
      <c r="N3" s="274"/>
    </row>
    <row r="4" spans="2:16">
      <c r="D4" s="57"/>
      <c r="E4" s="57"/>
      <c r="F4" s="58" t="s">
        <v>916</v>
      </c>
      <c r="G4" s="275"/>
      <c r="H4" s="275"/>
      <c r="J4" s="57"/>
      <c r="K4" s="60"/>
      <c r="L4" s="60"/>
      <c r="M4" s="55"/>
    </row>
    <row r="5" spans="2:16">
      <c r="D5" s="57"/>
      <c r="E5" s="61"/>
      <c r="F5" s="58" t="s">
        <v>50</v>
      </c>
      <c r="G5" s="275"/>
      <c r="H5" s="275"/>
      <c r="J5" s="61"/>
      <c r="K5" s="60"/>
      <c r="L5" s="60"/>
      <c r="M5" s="55"/>
    </row>
    <row r="6" spans="2:16">
      <c r="D6" s="60"/>
      <c r="E6" s="60"/>
      <c r="F6" s="110" t="str">
        <f>"Utilizing Actual / Projected Cost Data for the "&amp;N2&amp;" Rate Year"</f>
        <v>Utilizing Actual / Projected Cost Data for the 2022 Rate Year</v>
      </c>
      <c r="G6" s="275"/>
      <c r="H6" s="275"/>
      <c r="J6" s="60"/>
      <c r="K6" s="60"/>
      <c r="L6" s="60"/>
      <c r="M6" s="55"/>
    </row>
    <row r="7" spans="2:16">
      <c r="B7" s="64"/>
      <c r="C7" s="65"/>
      <c r="D7" s="60"/>
      <c r="H7" s="66"/>
      <c r="I7" s="66"/>
      <c r="J7" s="66"/>
      <c r="K7" s="66"/>
      <c r="L7" s="60"/>
      <c r="M7" s="60"/>
    </row>
    <row r="8" spans="2:16" ht="15.75">
      <c r="B8" s="64"/>
      <c r="C8" s="65"/>
      <c r="D8" s="276"/>
      <c r="E8" s="60"/>
      <c r="F8" s="277" t="s">
        <v>922</v>
      </c>
      <c r="G8" s="68"/>
      <c r="H8" s="60"/>
      <c r="I8" s="60"/>
      <c r="J8" s="60"/>
      <c r="K8" s="60"/>
      <c r="L8" s="276"/>
      <c r="M8" s="276"/>
      <c r="N8" s="276"/>
    </row>
    <row r="9" spans="2:16">
      <c r="B9" s="64"/>
      <c r="C9" s="65"/>
      <c r="D9" s="60"/>
      <c r="E9" s="60"/>
      <c r="F9" s="278"/>
      <c r="G9" s="68"/>
      <c r="H9" s="60"/>
      <c r="I9" s="60"/>
      <c r="J9" s="60"/>
      <c r="K9" s="60"/>
      <c r="L9" s="276"/>
      <c r="M9" s="276"/>
      <c r="N9" s="276"/>
    </row>
    <row r="10" spans="2:16">
      <c r="B10" s="64" t="s">
        <v>305</v>
      </c>
      <c r="C10" s="65"/>
      <c r="D10" s="60"/>
      <c r="E10" s="60"/>
      <c r="F10" s="60"/>
      <c r="G10" s="68"/>
      <c r="H10" s="60"/>
      <c r="I10" s="60"/>
      <c r="J10" s="60"/>
      <c r="K10" s="60"/>
      <c r="L10" s="65" t="s">
        <v>252</v>
      </c>
      <c r="M10" s="276"/>
      <c r="N10" s="276"/>
    </row>
    <row r="11" spans="2:16" ht="15.75" thickBot="1">
      <c r="B11" s="73" t="s">
        <v>254</v>
      </c>
      <c r="C11" s="74"/>
      <c r="D11" s="60"/>
      <c r="E11" s="74"/>
      <c r="F11" s="60"/>
      <c r="G11" s="60"/>
      <c r="H11" s="60"/>
      <c r="I11" s="60"/>
      <c r="J11" s="60"/>
      <c r="K11" s="60"/>
      <c r="L11" s="279" t="s">
        <v>306</v>
      </c>
      <c r="M11" s="276"/>
      <c r="N11" s="276"/>
    </row>
    <row r="12" spans="2:16">
      <c r="B12" s="64">
        <v>1</v>
      </c>
      <c r="C12" s="65"/>
      <c r="D12" s="280" t="s">
        <v>248</v>
      </c>
      <c r="E12" s="60" t="str">
        <f>"(ln "&amp;B193&amp;")"</f>
        <v>(ln 117)</v>
      </c>
      <c r="F12" s="60"/>
      <c r="G12" s="281"/>
      <c r="H12" s="282"/>
      <c r="I12" s="60"/>
      <c r="J12" s="60"/>
      <c r="K12" s="60"/>
      <c r="L12" s="81">
        <f>+L193</f>
        <v>180543014.47101551</v>
      </c>
      <c r="M12" s="276"/>
      <c r="N12" s="276"/>
    </row>
    <row r="13" spans="2:16" ht="15.75" thickBot="1">
      <c r="B13" s="64"/>
      <c r="C13" s="65"/>
      <c r="E13" s="283"/>
      <c r="F13" s="61"/>
      <c r="G13" s="279" t="s">
        <v>255</v>
      </c>
      <c r="H13" s="61"/>
      <c r="I13" s="284" t="s">
        <v>256</v>
      </c>
      <c r="J13" s="284"/>
      <c r="K13" s="60"/>
      <c r="L13" s="281"/>
      <c r="M13" s="276"/>
      <c r="N13" s="276"/>
    </row>
    <row r="14" spans="2:16">
      <c r="B14" s="64">
        <f>+B12+1</f>
        <v>2</v>
      </c>
      <c r="C14" s="65"/>
      <c r="D14" s="285" t="s">
        <v>304</v>
      </c>
      <c r="E14" s="283" t="s">
        <v>597</v>
      </c>
      <c r="F14" s="61"/>
      <c r="G14" s="286">
        <f>+'OKT WS H Rev Credits'!M52</f>
        <v>4150419.8739999942</v>
      </c>
      <c r="H14" s="61"/>
      <c r="I14" s="287" t="s">
        <v>266</v>
      </c>
      <c r="J14" s="288">
        <v>1</v>
      </c>
      <c r="K14" s="61"/>
      <c r="L14" s="289">
        <f>+J14*G14</f>
        <v>4150419.8739999942</v>
      </c>
      <c r="M14" s="276"/>
      <c r="N14" s="276"/>
    </row>
    <row r="15" spans="2:16">
      <c r="B15" s="64"/>
      <c r="C15" s="65"/>
      <c r="D15" s="285"/>
      <c r="E15" s="283"/>
      <c r="F15" s="61"/>
      <c r="G15" s="286"/>
      <c r="H15" s="61"/>
      <c r="I15" s="287"/>
      <c r="J15" s="288"/>
      <c r="K15" s="61"/>
      <c r="L15" s="289"/>
      <c r="M15" s="276"/>
      <c r="N15" s="276"/>
    </row>
    <row r="16" spans="2:16">
      <c r="B16" s="64">
        <f>+B14+1</f>
        <v>3</v>
      </c>
      <c r="C16" s="65"/>
      <c r="D16" s="280" t="s">
        <v>528</v>
      </c>
      <c r="E16" s="283" t="s">
        <v>620</v>
      </c>
      <c r="F16" s="61"/>
      <c r="G16" s="290"/>
      <c r="H16" s="61"/>
      <c r="I16" s="287"/>
      <c r="J16" s="288"/>
      <c r="K16" s="60"/>
      <c r="L16" s="290">
        <f>+'OKT WS B - Facility credits'!D9</f>
        <v>0</v>
      </c>
      <c r="M16" s="276"/>
      <c r="N16" s="276"/>
    </row>
    <row r="17" spans="2:14">
      <c r="B17" s="64"/>
      <c r="C17" s="65"/>
      <c r="E17" s="283"/>
      <c r="F17" s="61"/>
      <c r="G17" s="74"/>
      <c r="H17" s="61"/>
      <c r="I17" s="291"/>
      <c r="J17" s="291"/>
      <c r="K17" s="60"/>
      <c r="L17" s="281"/>
      <c r="M17" s="276"/>
      <c r="N17" s="276"/>
    </row>
    <row r="18" spans="2:14" ht="15.75" thickBot="1">
      <c r="B18" s="64">
        <f>+B16+1</f>
        <v>4</v>
      </c>
      <c r="C18" s="65"/>
      <c r="D18" s="292" t="s">
        <v>33</v>
      </c>
      <c r="E18" s="283" t="str">
        <f>"(ln "&amp;B12&amp;" less ln "&amp;B14&amp;" plus ln " &amp;B16&amp;")"</f>
        <v>(ln 1 less ln 2 plus ln 3)</v>
      </c>
      <c r="F18" s="60"/>
      <c r="H18" s="61"/>
      <c r="I18" s="287"/>
      <c r="J18" s="61"/>
      <c r="K18" s="61"/>
      <c r="L18" s="293">
        <f>+L12-L14+L16</f>
        <v>176392594.59701553</v>
      </c>
      <c r="M18" s="276"/>
      <c r="N18" s="276"/>
    </row>
    <row r="19" spans="2:14" ht="15.75" thickTop="1">
      <c r="B19" s="64"/>
      <c r="C19" s="65"/>
      <c r="D19" s="285"/>
      <c r="E19" s="283"/>
      <c r="F19" s="60"/>
      <c r="H19" s="61"/>
      <c r="I19" s="287"/>
      <c r="J19" s="61"/>
      <c r="K19" s="61"/>
      <c r="L19" s="294"/>
      <c r="M19" s="276"/>
      <c r="N19" s="276"/>
    </row>
    <row r="20" spans="2:14" ht="15" customHeight="1">
      <c r="B20" s="2172"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72"/>
      <c r="D20" s="2172"/>
      <c r="E20" s="2172"/>
      <c r="F20" s="2172"/>
      <c r="G20" s="2172"/>
      <c r="H20" s="2172"/>
      <c r="I20" s="2172"/>
      <c r="J20" s="276"/>
      <c r="M20" s="276"/>
      <c r="N20" s="276"/>
    </row>
    <row r="21" spans="2:14" ht="18.75" customHeight="1">
      <c r="B21" s="2172"/>
      <c r="C21" s="2172"/>
      <c r="D21" s="2172"/>
      <c r="E21" s="2172"/>
      <c r="F21" s="2172"/>
      <c r="G21" s="2172"/>
      <c r="H21" s="2172"/>
      <c r="I21" s="2172"/>
      <c r="J21" s="276"/>
      <c r="K21" s="276"/>
      <c r="L21" s="276"/>
      <c r="M21" s="276"/>
      <c r="N21" s="276"/>
    </row>
    <row r="22" spans="2:14" ht="15" customHeight="1">
      <c r="B22" s="295"/>
      <c r="C22" s="295"/>
      <c r="D22" s="295"/>
      <c r="E22" s="295"/>
      <c r="F22" s="295"/>
      <c r="G22" s="295"/>
      <c r="H22" s="295"/>
      <c r="I22" s="295"/>
      <c r="M22" s="276"/>
      <c r="N22" s="276"/>
    </row>
    <row r="23" spans="2:14">
      <c r="B23" s="64">
        <f>+B18+1</f>
        <v>5</v>
      </c>
      <c r="C23" s="65"/>
      <c r="D23" s="2181" t="s">
        <v>621</v>
      </c>
      <c r="E23" s="2182"/>
      <c r="F23" s="61"/>
      <c r="G23" s="296">
        <f>+'OKT WS G BPU ATRR'!N19</f>
        <v>43732218.925781809</v>
      </c>
      <c r="H23" s="61"/>
      <c r="I23" s="287" t="s">
        <v>266</v>
      </c>
      <c r="J23" s="288">
        <v>1</v>
      </c>
      <c r="K23" s="60"/>
      <c r="L23" s="294">
        <f>+J23*G23</f>
        <v>43732218.925781809</v>
      </c>
      <c r="M23" s="276"/>
      <c r="N23" s="276"/>
    </row>
    <row r="24" spans="2:14">
      <c r="B24" s="64"/>
      <c r="C24" s="65"/>
      <c r="D24" s="2182"/>
      <c r="E24" s="2182"/>
      <c r="F24" s="61"/>
      <c r="G24" s="296"/>
      <c r="H24" s="61"/>
      <c r="I24" s="61"/>
      <c r="J24" s="288"/>
      <c r="K24" s="60"/>
      <c r="L24" s="294"/>
      <c r="M24" s="276"/>
      <c r="N24" s="276"/>
    </row>
    <row r="25" spans="2:14">
      <c r="B25" s="64">
        <f>+B23+1</f>
        <v>6</v>
      </c>
      <c r="C25" s="65"/>
      <c r="D25" s="285" t="s">
        <v>34</v>
      </c>
      <c r="E25" s="283"/>
      <c r="F25" s="60"/>
      <c r="G25" s="297"/>
      <c r="H25" s="60"/>
      <c r="J25" s="60"/>
      <c r="K25" s="60"/>
      <c r="M25" s="276"/>
      <c r="N25" s="276"/>
    </row>
    <row r="26" spans="2:14">
      <c r="B26" s="64">
        <f>B25+1</f>
        <v>7</v>
      </c>
      <c r="C26" s="65"/>
      <c r="D26" s="57" t="s">
        <v>365</v>
      </c>
      <c r="E26" s="60" t="str">
        <f>"(ln "&amp;B12&amp;"/ ln "&amp;B79&amp;" x 100%)"</f>
        <v>(ln 1/ ln 37 x 100%)</v>
      </c>
      <c r="F26" s="65"/>
      <c r="G26" s="65"/>
      <c r="H26" s="65"/>
      <c r="I26" s="298"/>
      <c r="J26" s="298"/>
      <c r="K26" s="298"/>
      <c r="L26" s="299">
        <f>IF(L79=0,0,(L12)/L79)</f>
        <v>0.15056632366633779</v>
      </c>
      <c r="M26" s="276"/>
      <c r="N26" s="276"/>
    </row>
    <row r="27" spans="2:14">
      <c r="B27" s="64">
        <f>B26+1</f>
        <v>8</v>
      </c>
      <c r="C27" s="65"/>
      <c r="D27" s="57" t="s">
        <v>366</v>
      </c>
      <c r="E27" s="60" t="str">
        <f>"(ln "&amp;B26&amp;" / 12)"</f>
        <v>(ln 7 / 12)</v>
      </c>
      <c r="F27" s="65"/>
      <c r="G27" s="65"/>
      <c r="H27" s="65"/>
      <c r="I27" s="298"/>
      <c r="J27" s="298"/>
      <c r="K27" s="298"/>
      <c r="L27" s="300">
        <f>L26/12</f>
        <v>1.2547193638861483E-2</v>
      </c>
      <c r="M27" s="276"/>
      <c r="N27" s="276"/>
    </row>
    <row r="28" spans="2:14">
      <c r="B28" s="64"/>
      <c r="C28" s="65"/>
      <c r="D28" s="57"/>
      <c r="E28" s="60"/>
      <c r="F28" s="65"/>
      <c r="G28" s="65"/>
      <c r="H28" s="65"/>
      <c r="I28" s="298"/>
      <c r="J28" s="298"/>
      <c r="K28" s="298"/>
      <c r="L28" s="300"/>
      <c r="M28" s="276"/>
      <c r="N28" s="276"/>
    </row>
    <row r="29" spans="2:14">
      <c r="B29" s="64">
        <f>B27+1</f>
        <v>9</v>
      </c>
      <c r="C29" s="65"/>
      <c r="D29" s="285" t="str">
        <f>"NET PLANT CARRYING CHARGE ON LINE "&amp;B26&amp;" , W/O DEPRECIATION (w/o incentives) (Note B)"</f>
        <v>NET PLANT CARRYING CHARGE ON LINE 7 , W/O DEPRECIATION (w/o incentives) (Note B)</v>
      </c>
      <c r="E29" s="60"/>
      <c r="F29" s="65"/>
      <c r="G29" s="65"/>
      <c r="H29" s="65"/>
      <c r="I29" s="298"/>
      <c r="J29" s="298"/>
      <c r="K29" s="298"/>
      <c r="L29" s="300"/>
      <c r="M29" s="276"/>
      <c r="N29" s="276"/>
    </row>
    <row r="30" spans="2:14">
      <c r="B30" s="64">
        <f>B29+1</f>
        <v>10</v>
      </c>
      <c r="C30" s="65"/>
      <c r="D30" s="57" t="s">
        <v>365</v>
      </c>
      <c r="E30" s="60" t="str">
        <f>"( (ln "&amp;B12&amp;" - ln "&amp;B153&amp;") / ln "&amp;B79&amp;" x 100%)"</f>
        <v>( (ln 1 - ln 86) / ln 37 x 100%)</v>
      </c>
      <c r="F30" s="65"/>
      <c r="G30" s="65"/>
      <c r="H30" s="65"/>
      <c r="I30" s="298"/>
      <c r="J30" s="298"/>
      <c r="K30" s="298"/>
      <c r="L30" s="299">
        <f>IF(L79=0,0,(L12-L153)/L79)</f>
        <v>0.11496601599681577</v>
      </c>
      <c r="M30" s="276"/>
      <c r="N30" s="276"/>
    </row>
    <row r="31" spans="2:14">
      <c r="B31" s="64"/>
      <c r="C31" s="65"/>
      <c r="D31" s="57"/>
      <c r="E31" s="60"/>
      <c r="F31" s="65"/>
      <c r="G31" s="65"/>
      <c r="H31" s="65"/>
      <c r="I31" s="298"/>
      <c r="J31" s="298"/>
      <c r="K31" s="298"/>
      <c r="L31" s="300"/>
      <c r="M31" s="276"/>
      <c r="N31" s="276"/>
    </row>
    <row r="32" spans="2:14">
      <c r="B32" s="64">
        <f>B30+1</f>
        <v>11</v>
      </c>
      <c r="C32" s="65"/>
      <c r="D32" s="285" t="str">
        <f>"NET PLANT CARRYING CHARGE ON LINE "&amp;B29&amp;", W/O  INCOME TAXES, RETURN  (Note B)"</f>
        <v>NET PLANT CARRYING CHARGE ON LINE 9, W/O  INCOME TAXES, RETURN  (Note B)</v>
      </c>
      <c r="E32" s="60"/>
      <c r="F32" s="65"/>
      <c r="G32" s="65"/>
      <c r="H32" s="65"/>
      <c r="I32" s="298"/>
      <c r="J32" s="298"/>
      <c r="K32" s="298"/>
      <c r="L32" s="299"/>
      <c r="M32" s="276"/>
      <c r="N32" s="276"/>
    </row>
    <row r="33" spans="2:16">
      <c r="B33" s="64">
        <f>B32+1</f>
        <v>12</v>
      </c>
      <c r="C33" s="65"/>
      <c r="D33" s="57" t="s">
        <v>365</v>
      </c>
      <c r="E33" s="60" t="str">
        <f>"( (ln "&amp;B12&amp;" - ln "&amp;B153&amp;" - ln "&amp;B182&amp;" - ln "&amp;B184&amp;") / ln "&amp;B79&amp;" x 100%)"</f>
        <v>( (ln 1 - ln 86 - ln 111 - ln 112) / ln 37 x 100%)</v>
      </c>
      <c r="F33" s="65"/>
      <c r="G33" s="65"/>
      <c r="H33" s="65"/>
      <c r="I33" s="298"/>
      <c r="J33" s="298"/>
      <c r="K33" s="298"/>
      <c r="L33" s="301">
        <f>IF(L79=0,0,(L12-L153-L182-L184)/L79)</f>
        <v>2.568372685035292E-2</v>
      </c>
      <c r="M33" s="276"/>
      <c r="N33" s="276"/>
    </row>
    <row r="34" spans="2:16">
      <c r="B34" s="64"/>
      <c r="C34" s="65"/>
      <c r="D34" s="57"/>
      <c r="E34" s="60"/>
      <c r="F34" s="65"/>
      <c r="G34" s="65"/>
      <c r="H34" s="65"/>
      <c r="I34" s="298"/>
      <c r="J34" s="298"/>
      <c r="K34" s="298"/>
      <c r="L34" s="299"/>
      <c r="M34" s="276"/>
      <c r="N34" s="276"/>
    </row>
    <row r="35" spans="2:16">
      <c r="B35" s="64">
        <f>B33+1</f>
        <v>13</v>
      </c>
      <c r="C35" s="65"/>
      <c r="D35" s="280" t="s">
        <v>648</v>
      </c>
      <c r="E35" s="60"/>
      <c r="F35" s="65"/>
      <c r="G35" s="65"/>
      <c r="H35" s="65"/>
      <c r="I35" s="298"/>
      <c r="J35" s="298"/>
      <c r="K35" s="298"/>
      <c r="L35" s="302">
        <f>+'OKT WS G BPU ATRR'!P19</f>
        <v>0</v>
      </c>
      <c r="M35" s="276"/>
      <c r="N35" s="276"/>
    </row>
    <row r="36" spans="2:16">
      <c r="B36" s="64"/>
      <c r="C36" s="65"/>
      <c r="E36" s="60"/>
      <c r="F36" s="65"/>
      <c r="G36" s="65"/>
      <c r="H36" s="65"/>
      <c r="I36" s="298"/>
      <c r="J36" s="298"/>
      <c r="K36" s="298"/>
      <c r="L36" s="299"/>
      <c r="M36" s="276"/>
      <c r="N36" s="276"/>
    </row>
    <row r="37" spans="2:16">
      <c r="B37" s="53"/>
      <c r="C37" s="65"/>
      <c r="E37" s="60"/>
      <c r="F37" s="65"/>
      <c r="G37" s="65"/>
      <c r="H37" s="65"/>
      <c r="I37" s="298"/>
      <c r="J37" s="298"/>
      <c r="K37" s="298"/>
      <c r="L37" s="299"/>
      <c r="M37" s="276"/>
      <c r="N37" s="276"/>
    </row>
    <row r="38" spans="2:16">
      <c r="B38" s="64"/>
      <c r="C38" s="65"/>
      <c r="E38" s="60"/>
      <c r="F38" s="65"/>
      <c r="G38" s="65"/>
      <c r="H38" s="65"/>
      <c r="I38" s="298"/>
      <c r="J38" s="298"/>
      <c r="K38" s="298"/>
      <c r="L38" s="299"/>
      <c r="M38" s="276"/>
      <c r="N38" s="276"/>
    </row>
    <row r="39" spans="2:16">
      <c r="B39" s="64"/>
      <c r="C39" s="65"/>
      <c r="E39" s="60"/>
      <c r="F39" s="65"/>
      <c r="G39" s="65"/>
      <c r="H39" s="65"/>
      <c r="I39" s="298"/>
      <c r="J39" s="298"/>
      <c r="K39" s="298"/>
      <c r="L39" s="299"/>
      <c r="M39" s="276"/>
      <c r="N39" s="276"/>
    </row>
    <row r="40" spans="2:16">
      <c r="D40" s="57"/>
      <c r="E40" s="57"/>
      <c r="G40" s="282"/>
      <c r="H40" s="57"/>
      <c r="I40" s="57"/>
      <c r="J40" s="57"/>
      <c r="K40" s="57"/>
      <c r="L40" s="57"/>
      <c r="M40" s="276"/>
      <c r="N40" s="276"/>
    </row>
    <row r="41" spans="2:16">
      <c r="D41" s="57"/>
      <c r="E41" s="57"/>
      <c r="F41" s="65"/>
      <c r="G41" s="282"/>
      <c r="H41" s="57"/>
      <c r="I41" s="57"/>
      <c r="J41" s="57"/>
      <c r="K41" s="57"/>
      <c r="L41" s="57"/>
      <c r="M41" s="276"/>
      <c r="N41" s="276"/>
      <c r="P41" s="303"/>
    </row>
    <row r="42" spans="2:16">
      <c r="D42" s="57"/>
      <c r="E42" s="57"/>
      <c r="F42" s="65" t="str">
        <f>F4</f>
        <v xml:space="preserve">AEP West SPP Member Transmission Companies </v>
      </c>
      <c r="G42" s="282"/>
      <c r="H42" s="57"/>
      <c r="I42" s="57"/>
      <c r="J42" s="57"/>
      <c r="K42" s="57"/>
      <c r="L42" s="57"/>
      <c r="M42" s="276"/>
      <c r="N42" s="276"/>
      <c r="P42" s="303"/>
    </row>
    <row r="43" spans="2:16">
      <c r="D43" s="57"/>
      <c r="E43" s="61"/>
      <c r="F43" s="65" t="str">
        <f>F5</f>
        <v>Transmission Cost of Service Formula Rate</v>
      </c>
      <c r="G43" s="61"/>
      <c r="H43" s="61"/>
      <c r="I43" s="61"/>
      <c r="J43" s="61"/>
      <c r="K43" s="61"/>
      <c r="L43" s="61"/>
      <c r="M43" s="276"/>
      <c r="N43" s="276"/>
      <c r="P43" s="304"/>
    </row>
    <row r="44" spans="2:16">
      <c r="D44" s="57"/>
      <c r="E44" s="61"/>
      <c r="F44" s="287" t="str">
        <f>F6</f>
        <v>Utilizing Actual / Projected Cost Data for the 2022 Rate Year</v>
      </c>
      <c r="G44" s="61"/>
      <c r="H44" s="61"/>
      <c r="I44" s="61"/>
      <c r="J44" s="61"/>
      <c r="K44" s="61"/>
      <c r="L44" s="61"/>
      <c r="M44" s="276"/>
      <c r="N44" s="276"/>
      <c r="P44" s="304"/>
    </row>
    <row r="45" spans="2:16">
      <c r="D45" s="57"/>
      <c r="E45" s="61"/>
      <c r="F45" s="65"/>
      <c r="G45" s="61"/>
      <c r="H45" s="61"/>
      <c r="I45" s="61"/>
      <c r="J45" s="61"/>
      <c r="K45" s="61"/>
      <c r="L45" s="61"/>
      <c r="M45" s="276"/>
      <c r="N45" s="276"/>
      <c r="P45" s="304"/>
    </row>
    <row r="46" spans="2:16">
      <c r="D46" s="57"/>
      <c r="E46" s="61"/>
      <c r="F46" s="65" t="str">
        <f>F8</f>
        <v>AEP OKLAHOMA TRANSMISSION COMPANY, INC.</v>
      </c>
      <c r="G46" s="61"/>
      <c r="H46" s="61"/>
      <c r="I46" s="61"/>
      <c r="J46" s="61"/>
      <c r="K46" s="61"/>
      <c r="L46" s="61"/>
      <c r="M46" s="276"/>
      <c r="N46" s="276"/>
      <c r="P46" s="304"/>
    </row>
    <row r="47" spans="2:16">
      <c r="D47" s="57"/>
      <c r="E47" s="287"/>
      <c r="F47" s="287"/>
      <c r="G47" s="287"/>
      <c r="H47" s="287"/>
      <c r="I47" s="287"/>
      <c r="J47" s="287"/>
      <c r="K47" s="287"/>
      <c r="L47" s="61"/>
      <c r="M47" s="276"/>
      <c r="N47" s="276"/>
      <c r="P47" s="304"/>
    </row>
    <row r="48" spans="2:16">
      <c r="D48" s="65" t="s">
        <v>258</v>
      </c>
      <c r="E48" s="65" t="s">
        <v>259</v>
      </c>
      <c r="F48" s="65"/>
      <c r="G48" s="65" t="s">
        <v>260</v>
      </c>
      <c r="H48" s="61" t="s">
        <v>251</v>
      </c>
      <c r="I48" s="2175" t="s">
        <v>261</v>
      </c>
      <c r="J48" s="2176"/>
      <c r="K48" s="61"/>
      <c r="L48" s="66" t="s">
        <v>262</v>
      </c>
      <c r="M48" s="276"/>
      <c r="N48" s="276"/>
    </row>
    <row r="49" spans="2:16">
      <c r="B49" s="53"/>
      <c r="D49" s="276"/>
      <c r="E49" s="276"/>
      <c r="F49" s="276"/>
      <c r="G49" s="305"/>
      <c r="H49" s="61"/>
      <c r="I49" s="61"/>
      <c r="J49" s="306"/>
      <c r="K49" s="61"/>
      <c r="M49" s="276"/>
      <c r="N49" s="276"/>
    </row>
    <row r="50" spans="2:16" ht="15.75">
      <c r="B50" s="307"/>
      <c r="C50" s="65"/>
      <c r="D50" s="276"/>
      <c r="E50" s="308" t="s">
        <v>237</v>
      </c>
      <c r="F50" s="70"/>
      <c r="G50" s="61"/>
      <c r="H50" s="61"/>
      <c r="I50" s="61"/>
      <c r="J50" s="65"/>
      <c r="K50" s="61"/>
      <c r="L50" s="67" t="s">
        <v>255</v>
      </c>
      <c r="M50" s="276"/>
      <c r="N50" s="276"/>
      <c r="P50" s="303"/>
    </row>
    <row r="51" spans="2:16" ht="15.75">
      <c r="B51" s="53"/>
      <c r="C51" s="74"/>
      <c r="D51" s="309" t="s">
        <v>236</v>
      </c>
      <c r="E51" s="310" t="s">
        <v>249</v>
      </c>
      <c r="F51" s="61"/>
      <c r="G51" s="309" t="s">
        <v>223</v>
      </c>
      <c r="H51" s="311"/>
      <c r="I51" s="2173" t="s">
        <v>256</v>
      </c>
      <c r="J51" s="2174"/>
      <c r="K51" s="311"/>
      <c r="L51" s="309" t="s">
        <v>252</v>
      </c>
      <c r="M51" s="276"/>
      <c r="N51" s="276"/>
    </row>
    <row r="52" spans="2:16">
      <c r="B52" s="75" t="str">
        <f>B10</f>
        <v>Line</v>
      </c>
      <c r="C52" s="65"/>
      <c r="D52" s="57"/>
      <c r="E52" s="61"/>
      <c r="F52" s="61"/>
      <c r="G52" s="312" t="s">
        <v>139</v>
      </c>
      <c r="H52" s="61"/>
      <c r="I52" s="61"/>
      <c r="J52" s="61"/>
      <c r="K52" s="61"/>
      <c r="L52" s="61"/>
      <c r="M52" s="276"/>
      <c r="N52" s="276"/>
    </row>
    <row r="53" spans="2:16" ht="15.75" thickBot="1">
      <c r="B53" s="73" t="str">
        <f>B11</f>
        <v>No.</v>
      </c>
      <c r="C53" s="65"/>
      <c r="D53" s="57" t="s">
        <v>224</v>
      </c>
      <c r="E53" s="313"/>
      <c r="F53" s="313"/>
      <c r="G53" s="61"/>
      <c r="H53" s="61"/>
      <c r="I53" s="287"/>
      <c r="J53" s="61"/>
      <c r="K53" s="61"/>
      <c r="L53" s="61"/>
      <c r="M53" s="276"/>
      <c r="N53" s="276"/>
    </row>
    <row r="54" spans="2:16">
      <c r="B54" s="64">
        <f>+B35+1</f>
        <v>14</v>
      </c>
      <c r="C54" s="65"/>
      <c r="D54" s="314" t="s">
        <v>263</v>
      </c>
      <c r="E54" s="61" t="str">
        <f>"(Worksheet A-1 ln "&amp;'OKT WS A-1 - Plant'!A24&amp;".B)"</f>
        <v>(Worksheet A-1 ln 14.B)</v>
      </c>
      <c r="F54" s="315"/>
      <c r="G54" s="296">
        <f>+'OKT WS A-1 - Plant'!C24</f>
        <v>0</v>
      </c>
      <c r="H54" s="296"/>
      <c r="I54" s="287" t="s">
        <v>264</v>
      </c>
      <c r="J54" s="288">
        <v>0</v>
      </c>
      <c r="K54" s="61"/>
      <c r="L54" s="296">
        <f>+J54*G54</f>
        <v>0</v>
      </c>
      <c r="M54" s="276"/>
      <c r="N54" s="276"/>
    </row>
    <row r="55" spans="2:16">
      <c r="B55" s="64">
        <f t="shared" ref="B55:B63" si="0">+B54+1</f>
        <v>15</v>
      </c>
      <c r="C55" s="65"/>
      <c r="D55" s="314" t="s">
        <v>19</v>
      </c>
      <c r="E55" s="61" t="str">
        <f>"(Worksheet A-1 ln "&amp;'OKT WS A-1 - Plant'!A24&amp;".C)"</f>
        <v>(Worksheet A-1 ln 14.C)</v>
      </c>
      <c r="F55" s="315"/>
      <c r="G55" s="296">
        <f>-'OKT WS A-1 - Plant'!D24</f>
        <v>0</v>
      </c>
      <c r="H55" s="296"/>
      <c r="I55" s="287" t="s">
        <v>264</v>
      </c>
      <c r="J55" s="288">
        <v>0</v>
      </c>
      <c r="K55" s="61"/>
      <c r="L55" s="296">
        <f>+J55*G55</f>
        <v>0</v>
      </c>
      <c r="M55" s="276"/>
      <c r="N55" s="276"/>
    </row>
    <row r="56" spans="2:16">
      <c r="B56" s="64">
        <f t="shared" si="0"/>
        <v>16</v>
      </c>
      <c r="C56" s="316"/>
      <c r="D56" s="317" t="s">
        <v>265</v>
      </c>
      <c r="E56" s="61" t="str">
        <f>"(Worksheet A-1 ln "&amp;'OKT WS A-1 - Plant'!A24&amp;".D &amp; Ln "&amp;B209</f>
        <v>(Worksheet A-1 ln 14.D &amp; Ln 121</v>
      </c>
      <c r="F56" s="318"/>
      <c r="G56" s="296">
        <f>+'OKT WS A-1 - Plant'!E24</f>
        <v>1380374997.5384614</v>
      </c>
      <c r="H56" s="296"/>
      <c r="I56" s="319" t="s">
        <v>266</v>
      </c>
      <c r="J56" s="61"/>
      <c r="K56" s="320"/>
      <c r="L56" s="321">
        <f>+L209</f>
        <v>1380374037.0015383</v>
      </c>
      <c r="M56" s="276"/>
      <c r="N56" s="276"/>
    </row>
    <row r="57" spans="2:16">
      <c r="B57" s="64">
        <f t="shared" si="0"/>
        <v>17</v>
      </c>
      <c r="C57" s="316"/>
      <c r="D57" s="314" t="s">
        <v>20</v>
      </c>
      <c r="E57" s="61" t="str">
        <f>"(Worksheet A-1 ln "&amp;'OKT WS A-1 - Plant'!A24&amp;".E)"</f>
        <v>(Worksheet A-1 ln 14.E)</v>
      </c>
      <c r="F57" s="318"/>
      <c r="G57" s="296">
        <f>-'OKT WS A-1 - Plant'!F24</f>
        <v>0</v>
      </c>
      <c r="H57" s="296"/>
      <c r="I57" s="319" t="s">
        <v>257</v>
      </c>
      <c r="J57" s="288">
        <f>+$L$211</f>
        <v>0.99999930414784033</v>
      </c>
      <c r="K57" s="320"/>
      <c r="L57" s="321">
        <f>+G57*J57</f>
        <v>0</v>
      </c>
      <c r="M57" s="276"/>
      <c r="N57" s="276"/>
    </row>
    <row r="58" spans="2:16">
      <c r="B58" s="64">
        <f>+B57+1</f>
        <v>18</v>
      </c>
      <c r="C58" s="316"/>
      <c r="D58" s="57" t="s">
        <v>267</v>
      </c>
      <c r="E58" s="61" t="str">
        <f>"(Worksheet A-1 ln "&amp;'OKT WS A-1 - Plant'!A24&amp;".F)"</f>
        <v>(Worksheet A-1 ln 14.F)</v>
      </c>
      <c r="F58" s="315"/>
      <c r="G58" s="296">
        <f>+'OKT WS A-1 - Plant'!G24</f>
        <v>0</v>
      </c>
      <c r="H58" s="296"/>
      <c r="I58" s="287" t="s">
        <v>264</v>
      </c>
      <c r="J58" s="288">
        <v>0</v>
      </c>
      <c r="K58" s="61"/>
      <c r="L58" s="296">
        <f>+J58*G58</f>
        <v>0</v>
      </c>
      <c r="M58" s="276"/>
      <c r="N58" s="276"/>
    </row>
    <row r="59" spans="2:16">
      <c r="B59" s="64">
        <f t="shared" si="0"/>
        <v>19</v>
      </c>
      <c r="C59" s="316"/>
      <c r="D59" s="314" t="s">
        <v>17</v>
      </c>
      <c r="E59" s="61" t="str">
        <f>"(Worksheet A-1 ln "&amp;'OKT WS A-1 - Plant'!A24&amp;".G)"</f>
        <v>(Worksheet A-1 ln 14.G)</v>
      </c>
      <c r="F59" s="315"/>
      <c r="G59" s="296">
        <f>-'OKT WS A-1 - Plant'!H24</f>
        <v>0</v>
      </c>
      <c r="H59" s="296"/>
      <c r="I59" s="287" t="s">
        <v>264</v>
      </c>
      <c r="J59" s="288">
        <v>0</v>
      </c>
      <c r="K59" s="61"/>
      <c r="L59" s="296">
        <f>+G59*J59</f>
        <v>0</v>
      </c>
      <c r="M59" s="276"/>
      <c r="N59" s="276"/>
    </row>
    <row r="60" spans="2:16">
      <c r="B60" s="64">
        <f t="shared" si="0"/>
        <v>20</v>
      </c>
      <c r="C60" s="316"/>
      <c r="D60" s="57" t="s">
        <v>268</v>
      </c>
      <c r="E60" s="61" t="str">
        <f>"(Worksheet A-1 ln "&amp;'OKT WS A-1 - Plant'!A44&amp;".B)"</f>
        <v>(Worksheet A-1 ln 28.B)</v>
      </c>
      <c r="F60" s="315"/>
      <c r="G60" s="296">
        <f>+'OKT WS A-1 - Plant'!C44</f>
        <v>20343893.153846152</v>
      </c>
      <c r="H60" s="296"/>
      <c r="I60" s="287" t="s">
        <v>269</v>
      </c>
      <c r="J60" s="288">
        <f>+$L$221</f>
        <v>0.99999930414784033</v>
      </c>
      <c r="K60" s="61"/>
      <c r="L60" s="296">
        <f>+J60*G60</f>
        <v>20343878.997504164</v>
      </c>
      <c r="M60" s="276"/>
      <c r="N60" s="276"/>
    </row>
    <row r="61" spans="2:16">
      <c r="B61" s="64">
        <f t="shared" si="0"/>
        <v>21</v>
      </c>
      <c r="C61" s="316"/>
      <c r="D61" s="314" t="s">
        <v>18</v>
      </c>
      <c r="E61" s="61" t="str">
        <f>"(Worksheet A-1 ln "&amp;'OKT WS A-1 - Plant'!A44&amp;".C)"</f>
        <v>(Worksheet A-1 ln 28.C)</v>
      </c>
      <c r="F61" s="315"/>
      <c r="G61" s="296">
        <f>-'OKT WS A-1 - Plant'!D44</f>
        <v>0</v>
      </c>
      <c r="H61" s="296"/>
      <c r="I61" s="287" t="s">
        <v>269</v>
      </c>
      <c r="J61" s="288">
        <f>+$L$221</f>
        <v>0.99999930414784033</v>
      </c>
      <c r="K61" s="61"/>
      <c r="L61" s="296">
        <f>+G61*J61</f>
        <v>0</v>
      </c>
      <c r="M61" s="276"/>
      <c r="N61" s="276"/>
    </row>
    <row r="62" spans="2:16" ht="15.75" thickBot="1">
      <c r="B62" s="64">
        <f t="shared" si="0"/>
        <v>22</v>
      </c>
      <c r="C62" s="316"/>
      <c r="D62" s="57" t="s">
        <v>270</v>
      </c>
      <c r="E62" s="61" t="str">
        <f>"(Worksheet A-1 ln "&amp;'OKT WS A-1 - Plant'!A44&amp;".D)"</f>
        <v>(Worksheet A-1 ln 28.D)</v>
      </c>
      <c r="F62" s="315"/>
      <c r="G62" s="322">
        <f>+'OKT WS A-1 - Plant'!E44</f>
        <v>19031621.153846152</v>
      </c>
      <c r="H62" s="296"/>
      <c r="I62" s="287" t="s">
        <v>269</v>
      </c>
      <c r="J62" s="288">
        <f>+$L$221</f>
        <v>0.99999930414784033</v>
      </c>
      <c r="K62" s="61"/>
      <c r="L62" s="322">
        <f>+J62*G62</f>
        <v>19031607.910651471</v>
      </c>
      <c r="M62" s="276"/>
      <c r="N62" s="276"/>
      <c r="O62" s="57"/>
    </row>
    <row r="63" spans="2:16" ht="15.75">
      <c r="B63" s="307">
        <f t="shared" si="0"/>
        <v>23</v>
      </c>
      <c r="C63" s="316"/>
      <c r="D63" s="57" t="s">
        <v>222</v>
      </c>
      <c r="E63" s="282" t="str">
        <f>"(sum lns "&amp;B54&amp;" to "&amp;B62&amp;")"</f>
        <v>(sum lns 14 to 22)</v>
      </c>
      <c r="F63" s="323"/>
      <c r="G63" s="296">
        <f>SUM(G54:G62)</f>
        <v>1419750511.846154</v>
      </c>
      <c r="H63" s="296"/>
      <c r="I63" s="305" t="s">
        <v>605</v>
      </c>
      <c r="J63" s="324">
        <f>IF(G63=0,0,L63/G63)</f>
        <v>0.99999930414784022</v>
      </c>
      <c r="K63" s="61"/>
      <c r="L63" s="296">
        <f>SUM(L54:L62)</f>
        <v>1419749523.909694</v>
      </c>
      <c r="M63" s="276"/>
      <c r="N63" s="276"/>
      <c r="O63" s="57"/>
    </row>
    <row r="64" spans="2:16" ht="15.75">
      <c r="B64" s="307"/>
      <c r="C64" s="65"/>
      <c r="D64" s="57"/>
      <c r="E64" s="325"/>
      <c r="F64" s="323"/>
      <c r="G64" s="326"/>
      <c r="H64" s="296"/>
      <c r="I64" s="327" t="s">
        <v>351</v>
      </c>
      <c r="J64" s="328">
        <f>+G56/(++G56+G58)</f>
        <v>1</v>
      </c>
      <c r="K64" s="61"/>
      <c r="L64" s="296"/>
      <c r="M64" s="276"/>
      <c r="N64" s="276"/>
      <c r="O64" s="57"/>
    </row>
    <row r="65" spans="2:15">
      <c r="B65" s="64">
        <f>+B63+1</f>
        <v>24</v>
      </c>
      <c r="C65" s="65"/>
      <c r="D65" s="57" t="s">
        <v>204</v>
      </c>
      <c r="E65" s="313"/>
      <c r="F65" s="313"/>
      <c r="G65" s="326"/>
      <c r="H65" s="329"/>
      <c r="I65" s="287"/>
      <c r="J65" s="330"/>
      <c r="K65" s="61"/>
      <c r="L65" s="296"/>
      <c r="M65" s="276"/>
      <c r="N65" s="276"/>
      <c r="O65" s="61"/>
    </row>
    <row r="66" spans="2:15">
      <c r="B66" s="64">
        <f t="shared" ref="B66:B75" si="1">+B65+1</f>
        <v>25</v>
      </c>
      <c r="C66" s="65"/>
      <c r="D66" s="314" t="str">
        <f>+D54</f>
        <v xml:space="preserve">  Production</v>
      </c>
      <c r="E66" s="61" t="str">
        <f>"(Worksheet A-2 ln "&amp;'OKT WS A-1 - Plant'!A24&amp;".B)"</f>
        <v>(Worksheet A-2 ln 14.B)</v>
      </c>
      <c r="F66" s="315"/>
      <c r="G66" s="296">
        <f>+'OKT WS A-2 Accumulated Depn'!C24</f>
        <v>0</v>
      </c>
      <c r="H66" s="296"/>
      <c r="I66" s="287" t="s">
        <v>264</v>
      </c>
      <c r="J66" s="288">
        <v>0</v>
      </c>
      <c r="K66" s="61"/>
      <c r="L66" s="296">
        <f>+J66*G66</f>
        <v>0</v>
      </c>
      <c r="M66" s="276"/>
      <c r="N66" s="276"/>
      <c r="O66" s="61"/>
    </row>
    <row r="67" spans="2:15">
      <c r="B67" s="64">
        <f t="shared" si="1"/>
        <v>26</v>
      </c>
      <c r="C67" s="65"/>
      <c r="D67" s="314" t="s">
        <v>19</v>
      </c>
      <c r="E67" s="61" t="str">
        <f>"(Worksheet A-2 ln "&amp;'OKT WS A-1 - Plant'!A24&amp;".C)"</f>
        <v>(Worksheet A-2 ln 14.C)</v>
      </c>
      <c r="F67" s="315"/>
      <c r="G67" s="296">
        <f>-'OKT WS A-2 Accumulated Depn'!D24</f>
        <v>0</v>
      </c>
      <c r="H67" s="296"/>
      <c r="I67" s="287" t="s">
        <v>264</v>
      </c>
      <c r="J67" s="288">
        <v>0</v>
      </c>
      <c r="K67" s="61"/>
      <c r="L67" s="296">
        <f>+J67*G67</f>
        <v>0</v>
      </c>
      <c r="M67" s="276"/>
      <c r="N67" s="276"/>
      <c r="O67" s="61"/>
    </row>
    <row r="68" spans="2:15" ht="15.75">
      <c r="B68" s="64">
        <f t="shared" si="1"/>
        <v>27</v>
      </c>
      <c r="C68" s="316"/>
      <c r="D68" s="317" t="str">
        <f>D56</f>
        <v xml:space="preserve">  Transmission</v>
      </c>
      <c r="E68" s="61" t="str">
        <f>"(Worksheet A-2 ln "&amp;'OKT WS A-2 Accumulated Depn'!A24&amp;".D less "&amp;'OKT WS A-2 Accumulated Depn'!A46&amp;".F)"</f>
        <v>(Worksheet A-2 ln 14.D less 29.F)</v>
      </c>
      <c r="F68" s="331"/>
      <c r="G68" s="296">
        <f>+'OKT WS A-2 Accumulated Depn'!E24</f>
        <v>181281105.23076922</v>
      </c>
      <c r="H68" s="296"/>
      <c r="I68" s="332" t="s">
        <v>206</v>
      </c>
      <c r="J68" s="333">
        <f>IF(G68=0,0,L68/G68)</f>
        <v>1</v>
      </c>
      <c r="K68" s="320"/>
      <c r="L68" s="296">
        <f>+'OKT WS A-2 Accumulated Depn'!G46</f>
        <v>181281105.23076922</v>
      </c>
      <c r="M68" s="276"/>
      <c r="N68" s="276"/>
      <c r="O68" s="61"/>
    </row>
    <row r="69" spans="2:15" ht="15.75">
      <c r="B69" s="64">
        <f t="shared" si="1"/>
        <v>28</v>
      </c>
      <c r="C69" s="316"/>
      <c r="D69" s="314" t="s">
        <v>20</v>
      </c>
      <c r="E69" s="61" t="str">
        <f>"(Worksheet A-2 ln "&amp;'OKT WS A-2 Accumulated Depn'!A24&amp;".E)"</f>
        <v>(Worksheet A-2 ln 14.E)</v>
      </c>
      <c r="F69" s="318"/>
      <c r="G69" s="296">
        <f>-'OKT WS A-2 Accumulated Depn'!F24</f>
        <v>0</v>
      </c>
      <c r="H69" s="296"/>
      <c r="I69" s="332" t="s">
        <v>206</v>
      </c>
      <c r="J69" s="288">
        <f>+J68</f>
        <v>1</v>
      </c>
      <c r="K69" s="320"/>
      <c r="L69" s="296">
        <f>+J69*G69</f>
        <v>0</v>
      </c>
      <c r="M69" s="276"/>
      <c r="N69" s="276"/>
      <c r="O69" s="61"/>
    </row>
    <row r="70" spans="2:15">
      <c r="B70" s="64">
        <f>+B69+1</f>
        <v>29</v>
      </c>
      <c r="C70" s="316"/>
      <c r="D70" s="57" t="str">
        <f>+D58</f>
        <v xml:space="preserve">  Distribution</v>
      </c>
      <c r="E70" s="61" t="str">
        <f>"(Worksheet A-2 ln "&amp;'OKT WS A-2 Accumulated Depn'!A24&amp;".F)"</f>
        <v>(Worksheet A-2 ln 14.F)</v>
      </c>
      <c r="F70" s="315"/>
      <c r="G70" s="296">
        <f>+'OKT WS A-2 Accumulated Depn'!G24</f>
        <v>0</v>
      </c>
      <c r="H70" s="296"/>
      <c r="I70" s="287" t="s">
        <v>264</v>
      </c>
      <c r="J70" s="288">
        <v>0</v>
      </c>
      <c r="K70" s="61"/>
      <c r="L70" s="296">
        <f t="shared" ref="L70:L74" si="2">+J70*G70</f>
        <v>0</v>
      </c>
      <c r="M70" s="276"/>
      <c r="N70" s="276"/>
      <c r="O70" s="61"/>
    </row>
    <row r="71" spans="2:15">
      <c r="B71" s="64">
        <f t="shared" si="1"/>
        <v>30</v>
      </c>
      <c r="C71" s="316"/>
      <c r="D71" s="314" t="s">
        <v>17</v>
      </c>
      <c r="E71" s="61" t="str">
        <f>"(Worksheet A-2 ln "&amp;'OKT WS A-2 Accumulated Depn'!A24&amp;".G)"</f>
        <v>(Worksheet A-2 ln 14.G)</v>
      </c>
      <c r="F71" s="315"/>
      <c r="G71" s="296">
        <f>-'OKT WS A-2 Accumulated Depn'!H24</f>
        <v>0</v>
      </c>
      <c r="H71" s="296"/>
      <c r="I71" s="287" t="s">
        <v>264</v>
      </c>
      <c r="J71" s="288">
        <v>0</v>
      </c>
      <c r="K71" s="61"/>
      <c r="L71" s="296">
        <f t="shared" si="2"/>
        <v>0</v>
      </c>
      <c r="M71" s="276"/>
      <c r="N71" s="276"/>
      <c r="O71" s="61"/>
    </row>
    <row r="72" spans="2:15">
      <c r="B72" s="64">
        <f t="shared" si="1"/>
        <v>31</v>
      </c>
      <c r="C72" s="316"/>
      <c r="D72" s="57" t="str">
        <f>+D60</f>
        <v xml:space="preserve">  General Plant   </v>
      </c>
      <c r="E72" s="61" t="str">
        <f>"(Worksheet A-2 ln "&amp;'OKT WS A-2 Accumulated Depn'!A44&amp;".B)"</f>
        <v>(Worksheet A-2 ln 28.B)</v>
      </c>
      <c r="F72" s="315"/>
      <c r="G72" s="296">
        <f>+'OKT WS A-2 Accumulated Depn'!C44</f>
        <v>1526154.5384615385</v>
      </c>
      <c r="H72" s="296"/>
      <c r="I72" s="287" t="s">
        <v>269</v>
      </c>
      <c r="J72" s="288">
        <f>+$L$221</f>
        <v>0.99999930414784033</v>
      </c>
      <c r="K72" s="61"/>
      <c r="L72" s="296">
        <f t="shared" si="2"/>
        <v>1526153.476483607</v>
      </c>
      <c r="M72" s="276"/>
      <c r="N72" s="276"/>
      <c r="O72" s="61"/>
    </row>
    <row r="73" spans="2:15">
      <c r="B73" s="64">
        <f t="shared" si="1"/>
        <v>32</v>
      </c>
      <c r="C73" s="316"/>
      <c r="D73" s="314" t="s">
        <v>18</v>
      </c>
      <c r="E73" s="61" t="str">
        <f>"(Worksheet A-2 ln "&amp;'OKT WS A-2 Accumulated Depn'!A44&amp;".C)"</f>
        <v>(Worksheet A-2 ln 28.C)</v>
      </c>
      <c r="F73" s="315"/>
      <c r="G73" s="296">
        <f>-'OKT WS A-2 Accumulated Depn'!D44</f>
        <v>0</v>
      </c>
      <c r="H73" s="296"/>
      <c r="I73" s="287" t="s">
        <v>269</v>
      </c>
      <c r="J73" s="288">
        <f>+$L$221</f>
        <v>0.99999930414784033</v>
      </c>
      <c r="K73" s="61"/>
      <c r="L73" s="296">
        <f t="shared" si="2"/>
        <v>0</v>
      </c>
      <c r="M73" s="276"/>
      <c r="N73" s="276"/>
      <c r="O73" s="61"/>
    </row>
    <row r="74" spans="2:15" ht="15.75" thickBot="1">
      <c r="B74" s="64">
        <f t="shared" si="1"/>
        <v>33</v>
      </c>
      <c r="C74" s="316"/>
      <c r="D74" s="57" t="str">
        <f>+D62</f>
        <v xml:space="preserve">  Intangible Plant</v>
      </c>
      <c r="E74" s="61" t="str">
        <f>"(Worksheet A-2 ln "&amp;'OKT WS A-2 Accumulated Depn'!A44&amp;".D)"</f>
        <v>(Worksheet A-2 ln 28.D)</v>
      </c>
      <c r="F74" s="315"/>
      <c r="G74" s="322">
        <f>+'OKT WS A-2 Accumulated Depn'!E44</f>
        <v>5903900.923076923</v>
      </c>
      <c r="H74" s="296"/>
      <c r="I74" s="287" t="s">
        <v>269</v>
      </c>
      <c r="J74" s="288">
        <f>+$L$221</f>
        <v>0.99999930414784033</v>
      </c>
      <c r="K74" s="61"/>
      <c r="L74" s="322">
        <f t="shared" si="2"/>
        <v>5903896.8148347149</v>
      </c>
      <c r="M74" s="276"/>
      <c r="N74" s="276"/>
      <c r="O74" s="61"/>
    </row>
    <row r="75" spans="2:15">
      <c r="B75" s="64">
        <f t="shared" si="1"/>
        <v>34</v>
      </c>
      <c r="C75" s="316"/>
      <c r="D75" s="57" t="s">
        <v>221</v>
      </c>
      <c r="E75" s="334" t="str">
        <f>"(sum lns "&amp;B66&amp;" to "&amp;B74&amp;")"</f>
        <v>(sum lns 25 to 33)</v>
      </c>
      <c r="F75" s="335"/>
      <c r="G75" s="296">
        <f>SUM(G66:G74)</f>
        <v>188711160.69230768</v>
      </c>
      <c r="H75" s="296"/>
      <c r="I75" s="287"/>
      <c r="J75" s="61"/>
      <c r="K75" s="296"/>
      <c r="L75" s="296">
        <f>SUM(L66:L74)</f>
        <v>188711155.52208754</v>
      </c>
      <c r="M75" s="276"/>
      <c r="N75" s="276"/>
      <c r="O75" s="61"/>
    </row>
    <row r="76" spans="2:15">
      <c r="B76" s="64"/>
      <c r="C76" s="65"/>
      <c r="E76" s="336"/>
      <c r="F76" s="335"/>
      <c r="G76" s="296"/>
      <c r="H76" s="296"/>
      <c r="I76" s="287"/>
      <c r="J76" s="337"/>
      <c r="K76" s="61"/>
      <c r="L76" s="296"/>
      <c r="M76" s="276"/>
      <c r="N76" s="276"/>
      <c r="O76" s="61"/>
    </row>
    <row r="77" spans="2:15">
      <c r="B77" s="64">
        <f>+B75+1</f>
        <v>35</v>
      </c>
      <c r="C77" s="65"/>
      <c r="D77" s="57" t="s">
        <v>225</v>
      </c>
      <c r="E77" s="313"/>
      <c r="F77" s="313"/>
      <c r="G77" s="296"/>
      <c r="H77" s="296"/>
      <c r="I77" s="287"/>
      <c r="J77" s="61"/>
      <c r="K77" s="61"/>
      <c r="L77" s="296"/>
      <c r="M77" s="276"/>
      <c r="N77" s="276"/>
      <c r="O77" s="61"/>
    </row>
    <row r="78" spans="2:15">
      <c r="B78" s="307">
        <f t="shared" ref="B78:B83" si="3">+B77+1</f>
        <v>36</v>
      </c>
      <c r="C78" s="316"/>
      <c r="D78" s="314" t="str">
        <f>+D66</f>
        <v xml:space="preserve">  Production</v>
      </c>
      <c r="E78" s="61" t="str">
        <f>" (ln "&amp;B54&amp;" + ln "&amp;B55&amp;" - ln "&amp;B66&amp;" - ln "&amp;B67&amp;")"</f>
        <v xml:space="preserve"> (ln 14 + ln 15 - ln 25 - ln 26)</v>
      </c>
      <c r="F78" s="61"/>
      <c r="G78" s="296">
        <f>G54+G55-G66-G67</f>
        <v>0</v>
      </c>
      <c r="H78" s="296"/>
      <c r="I78" s="287"/>
      <c r="J78" s="338"/>
      <c r="K78" s="61"/>
      <c r="L78" s="296">
        <f>L54+L55-L66-L67</f>
        <v>0</v>
      </c>
      <c r="M78" s="276"/>
      <c r="N78" s="276"/>
      <c r="O78" s="61"/>
    </row>
    <row r="79" spans="2:15">
      <c r="B79" s="307">
        <f t="shared" si="3"/>
        <v>37</v>
      </c>
      <c r="C79" s="316"/>
      <c r="D79" s="314" t="str">
        <f>+D68</f>
        <v xml:space="preserve">  Transmission</v>
      </c>
      <c r="E79" s="61" t="str">
        <f>" (ln "&amp;B56&amp;" + ln "&amp;B57&amp;" - ln "&amp;B68&amp;" - ln "&amp;B69&amp;")"</f>
        <v xml:space="preserve"> (ln 16 + ln 17 - ln 27 - ln 28)</v>
      </c>
      <c r="F79" s="315"/>
      <c r="G79" s="296">
        <f>+G56+G57-G68-G69</f>
        <v>1199093892.3076923</v>
      </c>
      <c r="H79" s="296"/>
      <c r="I79" s="287"/>
      <c r="J79" s="333"/>
      <c r="K79" s="61"/>
      <c r="L79" s="296">
        <f>+L56+L57-L68-L69</f>
        <v>1199092931.7707691</v>
      </c>
      <c r="M79" s="276"/>
      <c r="N79" s="276"/>
      <c r="O79" s="61"/>
    </row>
    <row r="80" spans="2:15">
      <c r="B80" s="307">
        <f>+B79+1</f>
        <v>38</v>
      </c>
      <c r="C80" s="316"/>
      <c r="D80" s="314" t="str">
        <f>+D70</f>
        <v xml:space="preserve">  Distribution</v>
      </c>
      <c r="E80" s="61" t="str">
        <f>" (ln "&amp;B58&amp;" + ln "&amp;B59&amp;" - ln "&amp;B70&amp;" - ln "&amp;B71&amp;")"</f>
        <v xml:space="preserve"> (ln 18 + ln 19 - ln 29 - ln 30)</v>
      </c>
      <c r="F80" s="61"/>
      <c r="G80" s="296">
        <f>+G58+G59-G70-G71</f>
        <v>0</v>
      </c>
      <c r="H80" s="296"/>
      <c r="I80" s="287"/>
      <c r="J80" s="337"/>
      <c r="K80" s="61"/>
      <c r="L80" s="296">
        <f>+L58+L59-L70-L71</f>
        <v>0</v>
      </c>
      <c r="M80" s="276"/>
      <c r="N80" s="276"/>
      <c r="O80" s="61"/>
    </row>
    <row r="81" spans="2:15">
      <c r="B81" s="307">
        <f t="shared" si="3"/>
        <v>39</v>
      </c>
      <c r="C81" s="316"/>
      <c r="D81" s="314" t="str">
        <f>+D72</f>
        <v xml:space="preserve">  General Plant   </v>
      </c>
      <c r="E81" s="61" t="str">
        <f>" (ln "&amp;B60&amp;" + ln "&amp;B61&amp;" - ln "&amp;B72&amp;" - ln "&amp;B73&amp;")"</f>
        <v xml:space="preserve"> (ln 20 + ln 21 - ln 31 - ln 32)</v>
      </c>
      <c r="F81" s="61"/>
      <c r="G81" s="296">
        <f>+G60+G61-G72-G73</f>
        <v>18817738.615384612</v>
      </c>
      <c r="H81" s="296"/>
      <c r="I81" s="287"/>
      <c r="J81" s="337"/>
      <c r="K81" s="61"/>
      <c r="L81" s="296">
        <f>+L60+L61-L72-L73</f>
        <v>18817725.521020558</v>
      </c>
      <c r="M81" s="276"/>
      <c r="N81" s="276"/>
      <c r="O81" s="61"/>
    </row>
    <row r="82" spans="2:15" ht="15.75" thickBot="1">
      <c r="B82" s="307">
        <f t="shared" si="3"/>
        <v>40</v>
      </c>
      <c r="C82" s="316"/>
      <c r="D82" s="314" t="str">
        <f>+D74</f>
        <v xml:space="preserve">  Intangible Plant</v>
      </c>
      <c r="E82" s="61" t="str">
        <f>" (ln "&amp;B62&amp;" - ln "&amp;B74&amp;")"</f>
        <v xml:space="preserve"> (ln 22 - ln 33)</v>
      </c>
      <c r="F82" s="61"/>
      <c r="G82" s="322">
        <f>+G62-G74</f>
        <v>13127720.230769228</v>
      </c>
      <c r="H82" s="296"/>
      <c r="I82" s="287"/>
      <c r="J82" s="337"/>
      <c r="K82" s="61"/>
      <c r="L82" s="322">
        <f>+L62-L74</f>
        <v>13127711.095816758</v>
      </c>
      <c r="M82" s="276"/>
      <c r="N82" s="276"/>
      <c r="O82" s="61"/>
    </row>
    <row r="83" spans="2:15" ht="15.75">
      <c r="B83" s="307">
        <f t="shared" si="3"/>
        <v>41</v>
      </c>
      <c r="C83" s="316"/>
      <c r="D83" s="314" t="s">
        <v>220</v>
      </c>
      <c r="E83" s="314" t="str">
        <f>"(sum lns "&amp;B78&amp;" to "&amp;B82&amp;")"</f>
        <v>(sum lns 36 to 40)</v>
      </c>
      <c r="F83" s="61"/>
      <c r="G83" s="296">
        <f>SUM(G78:G82)</f>
        <v>1231039351.153846</v>
      </c>
      <c r="H83" s="296"/>
      <c r="I83" s="308" t="s">
        <v>606</v>
      </c>
      <c r="J83" s="324">
        <f>IF(G83=0,0,L83/G83)</f>
        <v>0.99999920167764056</v>
      </c>
      <c r="K83" s="61"/>
      <c r="L83" s="296">
        <f>SUM(L79:L82)</f>
        <v>1231038368.3876066</v>
      </c>
      <c r="M83" s="276"/>
      <c r="N83" s="276"/>
      <c r="O83" s="61"/>
    </row>
    <row r="84" spans="2:15">
      <c r="B84" s="64"/>
      <c r="C84" s="65"/>
      <c r="D84" s="57"/>
      <c r="E84" s="61"/>
      <c r="F84" s="61"/>
      <c r="G84" s="296"/>
      <c r="H84" s="296"/>
      <c r="J84" s="339"/>
      <c r="K84" s="61"/>
      <c r="L84" s="296"/>
      <c r="M84" s="276"/>
      <c r="N84" s="276"/>
      <c r="O84" s="61"/>
    </row>
    <row r="85" spans="2:15">
      <c r="B85" s="64"/>
      <c r="C85" s="65"/>
      <c r="G85" s="276"/>
      <c r="H85" s="276"/>
      <c r="I85" s="276"/>
      <c r="J85" s="276"/>
      <c r="K85" s="276"/>
      <c r="L85" s="276"/>
      <c r="M85" s="276"/>
      <c r="N85" s="276"/>
      <c r="O85" s="61"/>
    </row>
    <row r="86" spans="2:15">
      <c r="B86" s="64">
        <f>+B83+1</f>
        <v>42</v>
      </c>
      <c r="C86" s="65"/>
      <c r="D86" s="57" t="s">
        <v>395</v>
      </c>
      <c r="E86" s="61" t="s">
        <v>173</v>
      </c>
      <c r="F86" s="287"/>
      <c r="G86" s="276"/>
      <c r="H86" s="276"/>
      <c r="I86" s="276"/>
      <c r="J86" s="276"/>
      <c r="K86" s="276"/>
      <c r="L86" s="276"/>
      <c r="M86" s="276"/>
      <c r="N86" s="276"/>
      <c r="O86" s="61"/>
    </row>
    <row r="87" spans="2:15">
      <c r="B87" s="307">
        <f t="shared" ref="B87:B92" si="4">+B86+1</f>
        <v>43</v>
      </c>
      <c r="C87" s="316"/>
      <c r="D87" s="314" t="s">
        <v>327</v>
      </c>
      <c r="E87" s="61" t="s">
        <v>35</v>
      </c>
      <c r="F87" s="61"/>
      <c r="G87" s="296">
        <v>0</v>
      </c>
      <c r="H87" s="296"/>
      <c r="I87" s="287" t="s">
        <v>264</v>
      </c>
      <c r="J87" s="288"/>
      <c r="K87" s="61"/>
      <c r="L87" s="296">
        <v>0</v>
      </c>
      <c r="M87" s="276"/>
      <c r="N87" s="276"/>
      <c r="O87" s="61"/>
    </row>
    <row r="88" spans="2:15">
      <c r="B88" s="307">
        <f t="shared" si="4"/>
        <v>44</v>
      </c>
      <c r="C88" s="316"/>
      <c r="D88" s="314" t="s">
        <v>328</v>
      </c>
      <c r="E88" s="61" t="str">
        <f>"(Worksheet C, ln "&amp;'OKT WS C ADIT &amp; ADITC'!A23&amp;" C &amp; ln "&amp;'OKT WS C ADIT &amp; ADITC'!A27&amp;" J)"</f>
        <v>(Worksheet C, ln 4 C &amp; ln 8 J)</v>
      </c>
      <c r="F88" s="315"/>
      <c r="G88" s="296">
        <f>'OKT WS C ADIT &amp; ADITC'!D23</f>
        <v>-176902507.63499999</v>
      </c>
      <c r="H88" s="296"/>
      <c r="I88" s="287" t="s">
        <v>266</v>
      </c>
      <c r="J88" s="288"/>
      <c r="K88" s="61"/>
      <c r="L88" s="296">
        <f>'OKT WS C ADIT &amp; ADITC'!J27</f>
        <v>-137698740.57102782</v>
      </c>
      <c r="M88" s="276"/>
      <c r="N88" s="276"/>
      <c r="O88" s="61"/>
    </row>
    <row r="89" spans="2:15">
      <c r="B89" s="307">
        <f t="shared" si="4"/>
        <v>45</v>
      </c>
      <c r="C89" s="316"/>
      <c r="D89" s="314" t="s">
        <v>329</v>
      </c>
      <c r="E89" s="61" t="str">
        <f>"(Worksheet C, ln "&amp;'OKT WS C ADIT &amp; ADITC'!A36&amp;" C &amp; ln "&amp;'OKT WS C ADIT &amp; ADITC'!A38&amp;" J)"</f>
        <v>(Worksheet C, ln 12 C &amp; ln 14 J)</v>
      </c>
      <c r="F89" s="315"/>
      <c r="G89" s="296">
        <f>'OKT WS C ADIT &amp; ADITC'!D36</f>
        <v>-31962376.600000001</v>
      </c>
      <c r="H89" s="296"/>
      <c r="I89" s="287" t="s">
        <v>266</v>
      </c>
      <c r="J89" s="288"/>
      <c r="K89" s="61"/>
      <c r="L89" s="296">
        <f>'OKT WS C ADIT &amp; ADITC'!J38</f>
        <v>-24738185.739999998</v>
      </c>
      <c r="M89" s="276"/>
      <c r="N89" s="276"/>
      <c r="O89" s="61"/>
    </row>
    <row r="90" spans="2:15">
      <c r="B90" s="307">
        <f t="shared" si="4"/>
        <v>46</v>
      </c>
      <c r="C90" s="316"/>
      <c r="D90" s="314" t="s">
        <v>330</v>
      </c>
      <c r="E90" s="61" t="str">
        <f>"(Worksheet C, ln "&amp;'OKT WS C ADIT &amp; ADITC'!A48&amp;" C &amp; ln "&amp;'OKT WS C ADIT &amp; ADITC'!A52&amp;" J)"</f>
        <v>(Worksheet C, ln 18 C &amp; ln 22 J)</v>
      </c>
      <c r="F90" s="315"/>
      <c r="G90" s="296">
        <f>+'OKT WS C ADIT &amp; ADITC'!D48</f>
        <v>14569679.41</v>
      </c>
      <c r="H90" s="296"/>
      <c r="I90" s="287" t="s">
        <v>266</v>
      </c>
      <c r="J90" s="288"/>
      <c r="K90" s="61"/>
      <c r="L90" s="296">
        <f>+'OKT WS C ADIT &amp; ADITC'!J52</f>
        <v>37585965.286859661</v>
      </c>
      <c r="M90" s="276"/>
      <c r="N90" s="276"/>
      <c r="O90" s="61"/>
    </row>
    <row r="91" spans="2:15" ht="15.75" thickBot="1">
      <c r="B91" s="307">
        <f t="shared" si="4"/>
        <v>47</v>
      </c>
      <c r="C91" s="316"/>
      <c r="D91" s="82" t="s">
        <v>271</v>
      </c>
      <c r="E91" s="61" t="str">
        <f>"(Worksheet C, ln "&amp;'OKT WS C ADIT &amp; ADITC'!A62&amp;" C &amp; ln "&amp;'OKT WS C ADIT &amp; ADITC'!A64&amp;" J)"</f>
        <v>(Worksheet C, ln 26 C &amp; ln 28 J)</v>
      </c>
      <c r="F91" s="128"/>
      <c r="G91" s="322">
        <f>'OKT WS C ADIT &amp; ADITC'!D62</f>
        <v>0</v>
      </c>
      <c r="H91" s="296"/>
      <c r="I91" s="287" t="s">
        <v>266</v>
      </c>
      <c r="J91" s="288"/>
      <c r="K91" s="61"/>
      <c r="L91" s="322">
        <f>'OKT WS C ADIT &amp; ADITC'!J64</f>
        <v>0</v>
      </c>
      <c r="M91" s="276"/>
      <c r="N91" s="276"/>
      <c r="O91" s="61"/>
    </row>
    <row r="92" spans="2:15">
      <c r="B92" s="307">
        <f t="shared" si="4"/>
        <v>48</v>
      </c>
      <c r="C92" s="316"/>
      <c r="D92" s="314" t="s">
        <v>234</v>
      </c>
      <c r="E92" s="314" t="str">
        <f>"(sum lns "&amp;B87&amp;" to "&amp;B91&amp;")"</f>
        <v>(sum lns 43 to 47)</v>
      </c>
      <c r="F92" s="61"/>
      <c r="G92" s="296">
        <f>SUM(G87:G91)</f>
        <v>-194295204.82499999</v>
      </c>
      <c r="H92" s="276"/>
      <c r="I92" s="287"/>
      <c r="J92" s="301"/>
      <c r="K92" s="61"/>
      <c r="L92" s="296">
        <f>SUM(L87:L91)</f>
        <v>-124850961.02416816</v>
      </c>
      <c r="M92" s="276"/>
      <c r="N92" s="276"/>
    </row>
    <row r="93" spans="2:15">
      <c r="B93" s="64"/>
      <c r="C93" s="65"/>
      <c r="D93" s="314"/>
      <c r="E93" s="61"/>
      <c r="F93" s="61"/>
      <c r="G93" s="296"/>
      <c r="H93" s="276"/>
      <c r="I93" s="287"/>
      <c r="J93" s="337"/>
      <c r="K93" s="61"/>
      <c r="L93" s="296"/>
      <c r="M93" s="276"/>
      <c r="N93" s="276"/>
    </row>
    <row r="94" spans="2:15">
      <c r="B94" s="64">
        <f>+B92+1</f>
        <v>49</v>
      </c>
      <c r="C94" s="65"/>
      <c r="D94" s="314" t="s">
        <v>340</v>
      </c>
      <c r="E94" s="61" t="str">
        <f>"(Worksheet A-1 ln "&amp;'OKT WS A-1 - Plant'!A53&amp;".F)"</f>
        <v>(Worksheet A-1 ln 30.F)</v>
      </c>
      <c r="F94" s="61"/>
      <c r="G94" s="296">
        <f>+'OKT WS A-1 - Plant'!I53</f>
        <v>0</v>
      </c>
      <c r="H94" s="276"/>
      <c r="I94" s="287" t="s">
        <v>266</v>
      </c>
      <c r="J94" s="288"/>
      <c r="K94" s="61"/>
      <c r="L94" s="296">
        <f>+G94</f>
        <v>0</v>
      </c>
      <c r="M94" s="276"/>
      <c r="N94" s="276"/>
    </row>
    <row r="95" spans="2:15">
      <c r="B95" s="64"/>
      <c r="C95" s="65"/>
      <c r="D95" s="314"/>
      <c r="E95" s="61"/>
      <c r="F95" s="61"/>
      <c r="G95" s="296"/>
      <c r="H95" s="276"/>
      <c r="I95" s="287"/>
      <c r="J95" s="288"/>
      <c r="K95" s="61"/>
      <c r="L95" s="296"/>
      <c r="M95" s="276"/>
      <c r="N95" s="276"/>
    </row>
    <row r="96" spans="2:15">
      <c r="B96" s="64">
        <f>+B94+1</f>
        <v>50</v>
      </c>
      <c r="C96" s="65"/>
      <c r="D96" s="314" t="s">
        <v>608</v>
      </c>
      <c r="E96" s="61" t="str">
        <f>"(Worksheet S ln "&amp;'OKT WS S Reg Assets'!B45&amp;" cols. G and J) (Note W)"</f>
        <v>(Worksheet S ln 10 cols. G and J) (Note W)</v>
      </c>
      <c r="F96" s="61"/>
      <c r="G96" s="296">
        <f>+'OKT WS S Reg Assets'!K45</f>
        <v>0</v>
      </c>
      <c r="H96" s="276"/>
      <c r="I96" s="287" t="s">
        <v>266</v>
      </c>
      <c r="J96" s="288"/>
      <c r="K96" s="61"/>
      <c r="L96" s="296">
        <f>+'OKT WS S Reg Assets'!N45</f>
        <v>0</v>
      </c>
      <c r="M96" s="276"/>
      <c r="N96" s="276"/>
    </row>
    <row r="97" spans="2:14">
      <c r="B97" s="64"/>
      <c r="C97" s="65"/>
      <c r="D97" s="314"/>
      <c r="E97" s="61"/>
      <c r="F97" s="61"/>
      <c r="G97" s="296"/>
      <c r="H97" s="276"/>
      <c r="I97" s="287"/>
      <c r="J97" s="288"/>
      <c r="K97" s="61"/>
      <c r="L97" s="296"/>
      <c r="M97" s="276"/>
      <c r="N97" s="276"/>
    </row>
    <row r="98" spans="2:14">
      <c r="B98" s="307">
        <f>+B96+1</f>
        <v>51</v>
      </c>
      <c r="C98" s="316"/>
      <c r="D98" s="314" t="s">
        <v>824</v>
      </c>
      <c r="E98" s="61" t="str">
        <f>"(Worksheet R, ln "&amp;'OKT WS R Unfunded Reserves'!A16&amp;" F)"</f>
        <v>(Worksheet R, ln 6 F)</v>
      </c>
      <c r="F98" s="315"/>
      <c r="G98" s="296">
        <f>-'OKT WS R Unfunded Reserves'!H16</f>
        <v>0</v>
      </c>
      <c r="H98" s="276"/>
      <c r="I98" s="287" t="s">
        <v>269</v>
      </c>
      <c r="J98" s="288">
        <f>+$L$221</f>
        <v>0.99999930414784033</v>
      </c>
      <c r="K98" s="61"/>
      <c r="L98" s="296">
        <f>+J98*G98</f>
        <v>0</v>
      </c>
      <c r="M98" s="276"/>
      <c r="N98" s="276"/>
    </row>
    <row r="99" spans="2:14">
      <c r="B99" s="64"/>
      <c r="C99" s="65"/>
      <c r="D99" s="314"/>
      <c r="E99" s="61"/>
      <c r="F99" s="61"/>
      <c r="G99" s="296"/>
      <c r="H99" s="276"/>
      <c r="I99" s="287"/>
      <c r="J99" s="288"/>
      <c r="K99" s="61"/>
      <c r="L99" s="296"/>
      <c r="M99" s="276"/>
      <c r="N99" s="276"/>
    </row>
    <row r="100" spans="2:14">
      <c r="B100" s="64">
        <f>+B98+1</f>
        <v>52</v>
      </c>
      <c r="C100" s="65"/>
      <c r="D100" s="314" t="s">
        <v>235</v>
      </c>
      <c r="E100" s="61" t="s">
        <v>140</v>
      </c>
      <c r="F100" s="61"/>
      <c r="G100" s="296"/>
      <c r="H100" s="276"/>
      <c r="I100" s="287"/>
      <c r="J100" s="61"/>
      <c r="K100" s="61"/>
      <c r="L100" s="296"/>
      <c r="M100" s="276"/>
      <c r="N100" s="276"/>
    </row>
    <row r="101" spans="2:14">
      <c r="B101" s="307">
        <f t="shared" ref="B101:B109" si="5">+B100+1</f>
        <v>53</v>
      </c>
      <c r="C101" s="316"/>
      <c r="D101" s="314" t="s">
        <v>339</v>
      </c>
      <c r="E101" s="53" t="str">
        <f>"(1/8 * (ln "&amp;B134&amp;" - Ln "&amp;B133&amp;")) (Note G)"</f>
        <v>(1/8 * (ln 70 - Ln 69)) (Note G)</v>
      </c>
      <c r="G101" s="296">
        <f>(+G134-G133)/8</f>
        <v>1319884.6625000001</v>
      </c>
      <c r="H101" s="61"/>
      <c r="I101" s="287"/>
      <c r="J101" s="337"/>
      <c r="K101" s="61"/>
      <c r="L101" s="296">
        <f>+L134/8</f>
        <v>1319883.7440554071</v>
      </c>
      <c r="M101" s="276"/>
      <c r="N101" s="276"/>
    </row>
    <row r="102" spans="2:14">
      <c r="B102" s="307">
        <f t="shared" si="5"/>
        <v>54</v>
      </c>
      <c r="C102" s="316"/>
      <c r="D102" s="314" t="s">
        <v>400</v>
      </c>
      <c r="E102" s="61" t="str">
        <f>"(Worksheet D, pg 1 ln "&amp;'OKT WS D Working Capital'!A16&amp;" E)"</f>
        <v>(Worksheet D, pg 1 ln 1 E)</v>
      </c>
      <c r="F102" s="315"/>
      <c r="G102" s="296">
        <f>+'OKT WS D Working Capital'!G16</f>
        <v>0</v>
      </c>
      <c r="H102" s="276"/>
      <c r="I102" s="287" t="s">
        <v>257</v>
      </c>
      <c r="J102" s="288">
        <f>+$L$211</f>
        <v>0.99999930414784033</v>
      </c>
      <c r="K102" s="61"/>
      <c r="L102" s="296">
        <f>+J102*G102</f>
        <v>0</v>
      </c>
      <c r="M102" s="276"/>
      <c r="N102" s="276"/>
    </row>
    <row r="103" spans="2:14">
      <c r="B103" s="307">
        <f t="shared" si="5"/>
        <v>55</v>
      </c>
      <c r="C103" s="316"/>
      <c r="D103" s="314" t="s">
        <v>401</v>
      </c>
      <c r="E103" s="61" t="str">
        <f>"(Worksheet D, pg 1 ln "&amp;'OKT WS D Working Capital'!A17&amp;" E)"</f>
        <v>(Worksheet D, pg 1 ln 2 E)</v>
      </c>
      <c r="F103" s="315"/>
      <c r="G103" s="296">
        <f>+'OKT WS D Working Capital'!G17</f>
        <v>0</v>
      </c>
      <c r="H103" s="276"/>
      <c r="I103" s="287" t="s">
        <v>269</v>
      </c>
      <c r="J103" s="288">
        <f>+$L$221</f>
        <v>0.99999930414784033</v>
      </c>
      <c r="K103" s="61"/>
      <c r="L103" s="296">
        <f>+J103*G103</f>
        <v>0</v>
      </c>
      <c r="M103" s="276"/>
      <c r="N103" s="276"/>
    </row>
    <row r="104" spans="2:14">
      <c r="B104" s="307">
        <f t="shared" si="5"/>
        <v>56</v>
      </c>
      <c r="C104" s="316"/>
      <c r="D104" s="314" t="s">
        <v>194</v>
      </c>
      <c r="E104" s="61" t="str">
        <f>"(Worksheet D, pg 1 ln "&amp;'OKT WS D Working Capital'!A18&amp;" E)"</f>
        <v>(Worksheet D, pg 1 ln 3 E)</v>
      </c>
      <c r="F104" s="315"/>
      <c r="G104" s="296">
        <f>+'OKT WS D Working Capital'!G18</f>
        <v>0</v>
      </c>
      <c r="H104" s="276"/>
      <c r="I104" s="305" t="s">
        <v>604</v>
      </c>
      <c r="J104" s="288">
        <f>+$J$63</f>
        <v>0.99999930414784022</v>
      </c>
      <c r="K104" s="61"/>
      <c r="L104" s="296">
        <f>+J104*G104</f>
        <v>0</v>
      </c>
      <c r="M104" s="276"/>
      <c r="N104" s="276"/>
    </row>
    <row r="105" spans="2:14">
      <c r="B105" s="307">
        <f t="shared" si="5"/>
        <v>57</v>
      </c>
      <c r="C105" s="316"/>
      <c r="D105" s="314" t="s">
        <v>344</v>
      </c>
      <c r="E105" s="61" t="str">
        <f>"(Worksheet D, pg 1 ln "&amp;'OKT WS D Working Capital'!A52&amp;" G)"</f>
        <v>(Worksheet D, pg 1 ln 30 G)</v>
      </c>
      <c r="F105" s="315"/>
      <c r="G105" s="296">
        <f>+'OKT WS D Working Capital'!J52</f>
        <v>0</v>
      </c>
      <c r="H105" s="276"/>
      <c r="I105" s="287" t="s">
        <v>269</v>
      </c>
      <c r="J105" s="288">
        <f>+$L$221</f>
        <v>0.99999930414784033</v>
      </c>
      <c r="K105" s="61"/>
      <c r="L105" s="296">
        <f>+J105*G105</f>
        <v>0</v>
      </c>
      <c r="M105" s="276"/>
      <c r="N105" s="276"/>
    </row>
    <row r="106" spans="2:14">
      <c r="B106" s="307">
        <f t="shared" si="5"/>
        <v>58</v>
      </c>
      <c r="C106" s="316"/>
      <c r="D106" s="314" t="s">
        <v>345</v>
      </c>
      <c r="E106" s="61" t="str">
        <f>"(Worksheet D, pg 1 ln "&amp;'OKT WS D Working Capital'!A52&amp;" F)"</f>
        <v>(Worksheet D, pg 1 ln 30 F)</v>
      </c>
      <c r="F106" s="315"/>
      <c r="G106" s="296">
        <f>+'OKT WS D Working Capital'!I52</f>
        <v>273515.96384615381</v>
      </c>
      <c r="H106" s="276"/>
      <c r="I106" s="305" t="s">
        <v>604</v>
      </c>
      <c r="J106" s="288">
        <f>+$J$63</f>
        <v>0.99999930414784022</v>
      </c>
      <c r="K106" s="61"/>
      <c r="L106" s="296">
        <f>+G106*J106</f>
        <v>273515.77351947961</v>
      </c>
      <c r="M106" s="276"/>
      <c r="N106" s="276"/>
    </row>
    <row r="107" spans="2:14">
      <c r="B107" s="307">
        <f t="shared" si="5"/>
        <v>59</v>
      </c>
      <c r="C107" s="316"/>
      <c r="D107" s="314" t="s">
        <v>386</v>
      </c>
      <c r="E107" s="61" t="str">
        <f>"(Worksheet D, pg 1 ln "&amp;'OKT WS D Working Capital'!A52&amp;" E)"</f>
        <v>(Worksheet D, pg 1 ln 30 E)</v>
      </c>
      <c r="F107" s="315"/>
      <c r="G107" s="296">
        <f>+'OKT WS D Working Capital'!G52</f>
        <v>191915.25307692308</v>
      </c>
      <c r="H107" s="276"/>
      <c r="I107" s="287" t="s">
        <v>266</v>
      </c>
      <c r="J107" s="288">
        <v>1</v>
      </c>
      <c r="K107" s="61"/>
      <c r="L107" s="296">
        <f>+G107</f>
        <v>191915.25307692308</v>
      </c>
      <c r="M107" s="276"/>
      <c r="N107" s="276"/>
    </row>
    <row r="108" spans="2:14" ht="15.75" thickBot="1">
      <c r="B108" s="307">
        <f t="shared" si="5"/>
        <v>60</v>
      </c>
      <c r="C108" s="316"/>
      <c r="D108" s="314" t="s">
        <v>242</v>
      </c>
      <c r="E108" s="61" t="str">
        <f>"(Worksheet D, pg 1 ln "&amp;'OKT WS D Working Capital'!A52&amp;" D)"</f>
        <v>(Worksheet D, pg 1 ln 30 D)</v>
      </c>
      <c r="F108" s="315"/>
      <c r="G108" s="322">
        <f>+'OKT WS D Working Capital'!E52</f>
        <v>0</v>
      </c>
      <c r="H108" s="296"/>
      <c r="I108" s="287" t="s">
        <v>264</v>
      </c>
      <c r="J108" s="288">
        <v>0</v>
      </c>
      <c r="K108" s="61"/>
      <c r="L108" s="322">
        <f>+G108*J108</f>
        <v>0</v>
      </c>
      <c r="M108" s="276"/>
      <c r="N108" s="276"/>
    </row>
    <row r="109" spans="2:14">
      <c r="B109" s="307">
        <f t="shared" si="5"/>
        <v>61</v>
      </c>
      <c r="C109" s="316"/>
      <c r="D109" s="314" t="s">
        <v>219</v>
      </c>
      <c r="E109" s="314" t="str">
        <f>"(sum lns "&amp;B101&amp;" to "&amp;B108&amp;")"</f>
        <v>(sum lns 53 to 60)</v>
      </c>
      <c r="F109" s="60"/>
      <c r="G109" s="296">
        <f>SUM(G101:G108)</f>
        <v>1785315.879423077</v>
      </c>
      <c r="H109" s="60"/>
      <c r="I109" s="65"/>
      <c r="J109" s="60"/>
      <c r="K109" s="60"/>
      <c r="L109" s="296">
        <f>SUM(L101:L108)</f>
        <v>1785314.7706518099</v>
      </c>
      <c r="M109" s="276"/>
      <c r="N109" s="276"/>
    </row>
    <row r="110" spans="2:14">
      <c r="B110" s="64"/>
      <c r="C110" s="65"/>
      <c r="D110" s="314"/>
      <c r="E110" s="60"/>
      <c r="F110" s="60"/>
      <c r="G110" s="296"/>
      <c r="H110" s="60"/>
      <c r="I110" s="65"/>
      <c r="J110" s="60"/>
      <c r="K110" s="60"/>
      <c r="L110" s="296"/>
      <c r="M110" s="276"/>
      <c r="N110" s="276"/>
    </row>
    <row r="111" spans="2:14">
      <c r="B111" s="64">
        <f>+B109+1</f>
        <v>62</v>
      </c>
      <c r="C111" s="65"/>
      <c r="D111" s="314" t="s">
        <v>208</v>
      </c>
      <c r="E111" s="57" t="str">
        <f>"(Note H) (Worksheet E, ln "&amp;'OKT WS E IPP Credits'!A22&amp;" B)"</f>
        <v>(Note H) (Worksheet E, ln 8 B)</v>
      </c>
      <c r="F111" s="60"/>
      <c r="G111" s="296">
        <f>IF(G63=0,0,-'OKT WS E IPP Credits'!C22)</f>
        <v>0</v>
      </c>
      <c r="H111" s="60"/>
      <c r="I111" s="340" t="s">
        <v>266</v>
      </c>
      <c r="J111" s="288">
        <v>1</v>
      </c>
      <c r="K111" s="61"/>
      <c r="L111" s="296">
        <f>+J111*G111</f>
        <v>0</v>
      </c>
      <c r="M111" s="276"/>
      <c r="N111" s="276"/>
    </row>
    <row r="112" spans="2:14" ht="15.75" thickBot="1">
      <c r="D112" s="82"/>
      <c r="E112" s="61"/>
      <c r="F112" s="61"/>
      <c r="G112" s="322"/>
      <c r="H112" s="61"/>
      <c r="I112" s="287"/>
      <c r="J112" s="61"/>
      <c r="K112" s="61"/>
      <c r="L112" s="322"/>
      <c r="M112" s="276"/>
      <c r="N112" s="276"/>
    </row>
    <row r="113" spans="2:15" ht="15.75" thickBot="1">
      <c r="B113" s="64">
        <f>+B111+1</f>
        <v>63</v>
      </c>
      <c r="C113" s="65"/>
      <c r="D113" s="57" t="str">
        <f>"RATE BASE  (sum lns "&amp;B83&amp;", "&amp;B92&amp;", "&amp;B94&amp;", "&amp;B96&amp;", "&amp;B98&amp;", "&amp;B109&amp;", "&amp;B111&amp;")"</f>
        <v>RATE BASE  (sum lns 41, 48, 49, 50, 51, 61, 62)</v>
      </c>
      <c r="E113" s="61"/>
      <c r="F113" s="61"/>
      <c r="G113" s="341">
        <f>+G83+G92+G94+G96+G98+G109+G111</f>
        <v>1038529462.208269</v>
      </c>
      <c r="H113" s="61"/>
      <c r="I113" s="61"/>
      <c r="J113" s="337"/>
      <c r="K113" s="61"/>
      <c r="L113" s="341">
        <f>+L83+L92+L94+L96+L98+L109+L111</f>
        <v>1107972722.1340902</v>
      </c>
      <c r="M113" s="276"/>
      <c r="N113" s="276"/>
    </row>
    <row r="114" spans="2:15" ht="16.5" thickTop="1">
      <c r="B114" s="64"/>
      <c r="C114" s="276"/>
      <c r="D114" s="276"/>
      <c r="E114" s="276"/>
      <c r="F114" s="276"/>
      <c r="G114" s="276"/>
      <c r="H114" s="276"/>
      <c r="I114" s="273"/>
      <c r="J114" s="273"/>
      <c r="K114" s="273"/>
      <c r="M114" s="276"/>
      <c r="N114" s="276"/>
    </row>
    <row r="115" spans="2:15">
      <c r="B115" s="64"/>
      <c r="C115" s="65"/>
      <c r="D115" s="57"/>
      <c r="E115" s="61"/>
      <c r="F115" s="61"/>
      <c r="G115" s="61"/>
      <c r="H115" s="61"/>
      <c r="I115" s="61"/>
      <c r="J115" s="61"/>
      <c r="K115" s="61"/>
      <c r="L115" s="61"/>
      <c r="M115" s="276"/>
      <c r="N115" s="276"/>
    </row>
    <row r="116" spans="2:15">
      <c r="B116" s="64"/>
      <c r="C116" s="65"/>
      <c r="D116" s="57"/>
      <c r="E116" s="61"/>
      <c r="F116" s="287" t="str">
        <f>F42</f>
        <v xml:space="preserve">AEP West SPP Member Transmission Companies </v>
      </c>
      <c r="G116" s="287"/>
      <c r="H116" s="61"/>
      <c r="I116" s="61"/>
      <c r="J116" s="61"/>
      <c r="K116" s="61"/>
      <c r="L116" s="61"/>
      <c r="M116" s="276"/>
      <c r="N116" s="276"/>
    </row>
    <row r="117" spans="2:15">
      <c r="B117" s="64"/>
      <c r="C117" s="65"/>
      <c r="D117" s="57"/>
      <c r="E117" s="61"/>
      <c r="F117" s="287" t="str">
        <f>F43</f>
        <v>Transmission Cost of Service Formula Rate</v>
      </c>
      <c r="G117" s="287"/>
      <c r="H117" s="61"/>
      <c r="I117" s="61"/>
      <c r="J117" s="61"/>
      <c r="K117" s="61"/>
      <c r="L117" s="61"/>
      <c r="M117" s="276"/>
      <c r="N117" s="276"/>
    </row>
    <row r="118" spans="2:15">
      <c r="B118" s="64"/>
      <c r="C118" s="65"/>
      <c r="E118" s="61"/>
      <c r="F118" s="287" t="str">
        <f>F44</f>
        <v>Utilizing Actual / Projected Cost Data for the 2022 Rate Year</v>
      </c>
      <c r="G118" s="61"/>
      <c r="H118" s="61"/>
      <c r="I118" s="61"/>
      <c r="J118" s="61"/>
      <c r="K118" s="61"/>
      <c r="L118" s="61"/>
      <c r="M118" s="276"/>
      <c r="N118" s="276"/>
    </row>
    <row r="119" spans="2:15">
      <c r="B119" s="64"/>
      <c r="C119" s="65"/>
      <c r="E119" s="61"/>
      <c r="F119" s="287"/>
      <c r="G119" s="61"/>
      <c r="H119" s="61"/>
      <c r="I119" s="61"/>
      <c r="J119" s="61"/>
      <c r="K119" s="61"/>
      <c r="L119" s="61"/>
      <c r="M119" s="276"/>
      <c r="N119" s="276"/>
    </row>
    <row r="120" spans="2:15">
      <c r="B120" s="64"/>
      <c r="C120" s="65"/>
      <c r="E120" s="100"/>
      <c r="F120" s="287" t="str">
        <f>F46</f>
        <v>AEP OKLAHOMA TRANSMISSION COMPANY, INC.</v>
      </c>
      <c r="G120" s="100"/>
      <c r="H120" s="100"/>
      <c r="I120" s="100"/>
      <c r="J120" s="100"/>
      <c r="K120" s="100"/>
      <c r="M120" s="276"/>
      <c r="N120" s="276"/>
    </row>
    <row r="121" spans="2:15">
      <c r="B121" s="64"/>
      <c r="C121" s="65"/>
      <c r="E121" s="100"/>
      <c r="F121" s="287"/>
      <c r="G121" s="100"/>
      <c r="H121" s="100"/>
      <c r="I121" s="100"/>
      <c r="J121" s="100"/>
      <c r="K121" s="100"/>
      <c r="M121" s="276"/>
      <c r="N121" s="276"/>
    </row>
    <row r="122" spans="2:15">
      <c r="D122" s="65" t="s">
        <v>258</v>
      </c>
      <c r="E122" s="65" t="s">
        <v>259</v>
      </c>
      <c r="F122" s="65"/>
      <c r="G122" s="65" t="s">
        <v>260</v>
      </c>
      <c r="H122" s="61"/>
      <c r="I122" s="2175" t="s">
        <v>261</v>
      </c>
      <c r="J122" s="2176"/>
      <c r="K122" s="61"/>
      <c r="L122" s="66" t="s">
        <v>262</v>
      </c>
      <c r="M122" s="276"/>
      <c r="N122" s="276"/>
    </row>
    <row r="123" spans="2:15" ht="15.75">
      <c r="B123" s="53"/>
      <c r="D123" s="65"/>
      <c r="E123" s="65"/>
      <c r="F123" s="65"/>
      <c r="G123" s="65"/>
      <c r="H123" s="61"/>
      <c r="I123" s="61"/>
      <c r="J123" s="306"/>
      <c r="K123" s="61"/>
      <c r="M123" s="276"/>
      <c r="N123" s="276"/>
      <c r="O123" s="273"/>
    </row>
    <row r="124" spans="2:15" ht="15.75">
      <c r="B124" s="307"/>
      <c r="C124" s="65"/>
      <c r="D124" s="71" t="s">
        <v>238</v>
      </c>
      <c r="E124" s="308" t="str">
        <f>E50</f>
        <v>Data Sources</v>
      </c>
      <c r="F124" s="70"/>
      <c r="G124" s="61"/>
      <c r="H124" s="61"/>
      <c r="I124" s="61"/>
      <c r="J124" s="65"/>
      <c r="K124" s="61"/>
      <c r="L124" s="308" t="str">
        <f>L50</f>
        <v>Total</v>
      </c>
      <c r="M124" s="276"/>
      <c r="N124" s="276"/>
      <c r="O124" s="273"/>
    </row>
    <row r="125" spans="2:15" ht="15.75">
      <c r="B125" s="53"/>
      <c r="C125" s="74"/>
      <c r="D125" s="309" t="s">
        <v>239</v>
      </c>
      <c r="E125" s="342" t="str">
        <f>E51</f>
        <v>(See "General Notes")</v>
      </c>
      <c r="F125" s="61"/>
      <c r="G125" s="342" t="str">
        <f>G51</f>
        <v>TO Total</v>
      </c>
      <c r="H125" s="311"/>
      <c r="I125" s="2173" t="str">
        <f>I51</f>
        <v>Allocator</v>
      </c>
      <c r="J125" s="2174"/>
      <c r="K125" s="311"/>
      <c r="L125" s="342" t="str">
        <f>L51</f>
        <v>Transmission</v>
      </c>
      <c r="M125" s="276"/>
      <c r="N125" s="276"/>
      <c r="O125" s="273"/>
    </row>
    <row r="126" spans="2:15" ht="15.75">
      <c r="B126" s="343" t="str">
        <f>B52</f>
        <v>Line</v>
      </c>
      <c r="D126" s="57"/>
      <c r="E126" s="61"/>
      <c r="F126" s="61"/>
      <c r="G126" s="309"/>
      <c r="H126"/>
      <c r="I126" s="71"/>
      <c r="K126" s="344"/>
      <c r="L126" s="309"/>
      <c r="M126" s="276"/>
      <c r="N126" s="276"/>
    </row>
    <row r="127" spans="2:15" ht="15.75" thickBot="1">
      <c r="B127" s="73" t="str">
        <f>B53</f>
        <v>No.</v>
      </c>
      <c r="C127" s="65"/>
      <c r="D127" s="57" t="s">
        <v>240</v>
      </c>
      <c r="E127" s="61"/>
      <c r="F127" s="61"/>
      <c r="G127" s="61"/>
      <c r="H127"/>
      <c r="I127" s="287"/>
      <c r="J127" s="61"/>
      <c r="K127" s="61"/>
      <c r="L127" s="61"/>
      <c r="M127" s="276"/>
      <c r="N127" s="276"/>
    </row>
    <row r="128" spans="2:15">
      <c r="B128" s="75">
        <f>+B113+1</f>
        <v>64</v>
      </c>
      <c r="C128" s="65"/>
      <c r="D128" s="57" t="s">
        <v>272</v>
      </c>
      <c r="E128" s="61" t="s">
        <v>53</v>
      </c>
      <c r="F128" s="61"/>
      <c r="G128" s="345">
        <v>11096843.030000001</v>
      </c>
      <c r="H128"/>
      <c r="I128" s="276"/>
      <c r="J128" s="276"/>
      <c r="K128" s="276"/>
      <c r="L128" s="276"/>
      <c r="M128" s="276"/>
      <c r="N128" s="276"/>
      <c r="O128" s="61"/>
    </row>
    <row r="129" spans="1:15">
      <c r="A129" s="276"/>
      <c r="B129" s="75">
        <f>+B128+1</f>
        <v>65</v>
      </c>
      <c r="C129" s="65"/>
      <c r="D129" s="57" t="s">
        <v>396</v>
      </c>
      <c r="E129" s="61" t="s">
        <v>180</v>
      </c>
      <c r="F129" s="61"/>
      <c r="G129" s="345">
        <v>537765.73</v>
      </c>
      <c r="H129"/>
      <c r="I129" s="276"/>
      <c r="J129" s="276"/>
      <c r="K129" s="276"/>
      <c r="L129" s="276"/>
      <c r="M129" s="276"/>
      <c r="N129" s="276"/>
      <c r="O129" s="61"/>
    </row>
    <row r="130" spans="1:15">
      <c r="A130" s="276"/>
      <c r="B130" s="75">
        <f t="shared" ref="B130:B134" si="6">+B129+1</f>
        <v>66</v>
      </c>
      <c r="C130" s="65"/>
      <c r="D130" s="57" t="s">
        <v>203</v>
      </c>
      <c r="E130" s="61" t="s">
        <v>181</v>
      </c>
      <c r="F130" s="61"/>
      <c r="G130" s="345">
        <v>0</v>
      </c>
      <c r="H130"/>
      <c r="I130" s="276"/>
      <c r="J130" s="276"/>
      <c r="K130" s="276"/>
      <c r="L130" s="276"/>
      <c r="M130" s="276"/>
      <c r="N130" s="276"/>
      <c r="O130" s="61"/>
    </row>
    <row r="131" spans="1:15">
      <c r="A131" s="276"/>
      <c r="B131" s="75">
        <f t="shared" si="6"/>
        <v>67</v>
      </c>
      <c r="C131" s="65"/>
      <c r="D131" s="57" t="s">
        <v>735</v>
      </c>
      <c r="E131" s="61" t="str">
        <f>"Worksheet S ln "&amp;'OKT WS S Reg Assets'!B16&amp;" (Note V)"</f>
        <v>Worksheet S ln 2 (Note V)</v>
      </c>
      <c r="F131" s="61"/>
      <c r="G131" s="346">
        <f>+'OKT WS S Reg Assets'!I16</f>
        <v>0</v>
      </c>
      <c r="H131"/>
      <c r="I131" s="276"/>
      <c r="J131" s="276"/>
      <c r="K131" s="276"/>
      <c r="L131" s="276"/>
      <c r="M131" s="276"/>
      <c r="N131" s="276"/>
      <c r="O131" s="61"/>
    </row>
    <row r="132" spans="1:15">
      <c r="A132" s="276"/>
      <c r="B132" s="75">
        <f t="shared" si="6"/>
        <v>68</v>
      </c>
      <c r="C132" s="65"/>
      <c r="D132" s="57" t="s">
        <v>618</v>
      </c>
      <c r="E132" s="61" t="str">
        <f>"Worksheet I ln "&amp;'OKT WS I Exp Adj'!B21&amp;""</f>
        <v>Worksheet I ln 10</v>
      </c>
      <c r="F132" s="61"/>
      <c r="G132" s="347">
        <f>+'OKT WS I Exp Adj'!G21</f>
        <v>0</v>
      </c>
      <c r="H132"/>
      <c r="I132" s="276"/>
      <c r="J132" s="276"/>
      <c r="K132" s="276"/>
      <c r="L132" s="276"/>
      <c r="M132" s="276"/>
      <c r="N132" s="276"/>
      <c r="O132" s="61"/>
    </row>
    <row r="133" spans="1:15" ht="15.75" thickBot="1">
      <c r="A133" s="276"/>
      <c r="B133" s="75">
        <f t="shared" si="6"/>
        <v>69</v>
      </c>
      <c r="C133" s="65"/>
      <c r="D133" s="57" t="s">
        <v>736</v>
      </c>
      <c r="E133" s="61" t="str">
        <f>"Worksheet S ln "&amp;'OKT WS S Reg Assets'!B23&amp;" (Note V)"</f>
        <v>Worksheet S ln 4 (Note V)</v>
      </c>
      <c r="F133" s="61"/>
      <c r="G133" s="286">
        <f>+'OKT WS S Reg Assets'!I23</f>
        <v>0</v>
      </c>
      <c r="H133"/>
      <c r="I133" s="276"/>
      <c r="J133" s="276"/>
      <c r="K133" s="276"/>
      <c r="L133" s="276"/>
      <c r="M133" s="276"/>
      <c r="N133" s="276"/>
      <c r="O133" s="61"/>
    </row>
    <row r="134" spans="1:15">
      <c r="A134" s="276"/>
      <c r="B134" s="75">
        <f t="shared" si="6"/>
        <v>70</v>
      </c>
      <c r="C134" s="65"/>
      <c r="D134" s="57" t="s">
        <v>49</v>
      </c>
      <c r="E134" s="61" t="str">
        <f>"(lns "&amp;B128&amp;" - "&amp;B129&amp;" - "&amp;B130&amp;" - "&amp;B131&amp;" + "&amp;B132&amp;" + "&amp;B133&amp;")"</f>
        <v>(lns 64 - 65 - 66 - 67 + 68 + 69)</v>
      </c>
      <c r="F134" s="57"/>
      <c r="G134" s="348">
        <f>+G128-G129-G130-G131+G132+G133</f>
        <v>10559077.300000001</v>
      </c>
      <c r="H134"/>
      <c r="I134" s="287" t="s">
        <v>257</v>
      </c>
      <c r="J134" s="288">
        <f>+$L$211</f>
        <v>0.99999930414784033</v>
      </c>
      <c r="K134" s="61"/>
      <c r="L134" s="296">
        <f>+J134*G134</f>
        <v>10559069.952443257</v>
      </c>
      <c r="M134" s="276"/>
      <c r="N134" s="276"/>
      <c r="O134" s="61"/>
    </row>
    <row r="135" spans="1:15">
      <c r="A135" s="276"/>
      <c r="B135" s="64"/>
      <c r="C135" s="65"/>
      <c r="D135" s="57"/>
      <c r="E135" s="61"/>
      <c r="F135" s="61"/>
      <c r="G135" s="270"/>
      <c r="H135"/>
      <c r="I135" s="276"/>
      <c r="J135" s="276"/>
      <c r="K135" s="276"/>
      <c r="L135" s="276"/>
      <c r="M135" s="276"/>
      <c r="N135" s="276"/>
      <c r="O135" s="61"/>
    </row>
    <row r="136" spans="1:15">
      <c r="A136" s="276"/>
      <c r="B136" s="64">
        <f>+B134+1</f>
        <v>71</v>
      </c>
      <c r="C136" s="65"/>
      <c r="D136" s="57" t="s">
        <v>241</v>
      </c>
      <c r="E136" s="61" t="s">
        <v>413</v>
      </c>
      <c r="F136" s="61"/>
      <c r="G136" s="345">
        <v>4519547.9419999989</v>
      </c>
      <c r="H136"/>
      <c r="I136" s="333"/>
      <c r="J136" s="333"/>
      <c r="K136" s="61"/>
      <c r="L136" s="296"/>
      <c r="M136" s="276"/>
      <c r="N136" s="276"/>
      <c r="O136" s="61"/>
    </row>
    <row r="137" spans="1:15">
      <c r="A137" s="276"/>
      <c r="B137" s="64">
        <f t="shared" ref="B137:B144" si="7">+B136+1</f>
        <v>72</v>
      </c>
      <c r="C137" s="65"/>
      <c r="D137" s="57" t="s">
        <v>398</v>
      </c>
      <c r="E137" s="61" t="s">
        <v>54</v>
      </c>
      <c r="F137" s="61"/>
      <c r="G137" s="345">
        <v>323643.98</v>
      </c>
      <c r="H137"/>
      <c r="I137" s="333"/>
      <c r="J137" s="57"/>
      <c r="K137" s="61"/>
      <c r="L137" s="296"/>
      <c r="M137" s="276"/>
      <c r="N137" s="276"/>
      <c r="O137" s="61"/>
    </row>
    <row r="138" spans="1:15">
      <c r="B138" s="64">
        <f t="shared" si="7"/>
        <v>73</v>
      </c>
      <c r="C138" s="65"/>
      <c r="D138" s="57" t="s">
        <v>397</v>
      </c>
      <c r="E138" s="61" t="s">
        <v>182</v>
      </c>
      <c r="F138" s="61"/>
      <c r="G138" s="296">
        <f>+'OKT WS J Misc Exp'!D31</f>
        <v>24702.43</v>
      </c>
      <c r="H138"/>
      <c r="I138" s="333"/>
      <c r="J138" s="349"/>
      <c r="K138" s="61"/>
      <c r="L138" s="296"/>
      <c r="M138" s="276"/>
      <c r="N138" s="276"/>
      <c r="O138" s="61"/>
    </row>
    <row r="139" spans="1:15">
      <c r="B139" s="64">
        <f t="shared" si="7"/>
        <v>74</v>
      </c>
      <c r="C139" s="65"/>
      <c r="D139" s="57" t="s">
        <v>244</v>
      </c>
      <c r="E139" s="61" t="s">
        <v>183</v>
      </c>
      <c r="F139" s="61"/>
      <c r="G139" s="296">
        <f>+'OKT WS J Misc Exp'!D41</f>
        <v>478.95000000000005</v>
      </c>
      <c r="H139"/>
      <c r="I139" s="333"/>
      <c r="J139" s="333"/>
      <c r="K139" s="61"/>
      <c r="L139" s="296"/>
      <c r="M139" s="276"/>
      <c r="N139" s="276"/>
      <c r="O139" s="61"/>
    </row>
    <row r="140" spans="1:15">
      <c r="B140" s="64">
        <f t="shared" si="7"/>
        <v>75</v>
      </c>
      <c r="C140" s="65"/>
      <c r="D140" s="57" t="s">
        <v>399</v>
      </c>
      <c r="E140" s="61" t="s">
        <v>184</v>
      </c>
      <c r="F140" s="61"/>
      <c r="G140" s="296">
        <f>+'OKT WS J Misc Exp'!D50</f>
        <v>94970.072</v>
      </c>
      <c r="H140"/>
      <c r="I140" s="333"/>
      <c r="J140" s="333"/>
      <c r="K140" s="61"/>
      <c r="L140" s="296"/>
      <c r="M140" s="276"/>
      <c r="N140" s="276"/>
      <c r="O140" s="61"/>
    </row>
    <row r="141" spans="1:15" ht="15.75" thickBot="1">
      <c r="B141" s="64">
        <f>+B140+1</f>
        <v>76</v>
      </c>
      <c r="C141" s="65"/>
      <c r="D141" s="57" t="s">
        <v>758</v>
      </c>
      <c r="E141" s="61" t="str">
        <f>"Worksheet S ln "&amp;'OKT WS S Reg Assets'!B28&amp;" (Note V)"</f>
        <v>Worksheet S ln 6 (Note V)</v>
      </c>
      <c r="F141" s="61"/>
      <c r="G141" s="296">
        <f>+'OKT WS S Reg Assets'!I28</f>
        <v>0</v>
      </c>
      <c r="H141"/>
      <c r="I141" s="333"/>
      <c r="J141" s="333"/>
      <c r="K141" s="61"/>
      <c r="L141" s="296"/>
      <c r="M141" s="276"/>
      <c r="N141" s="276"/>
      <c r="O141" s="61"/>
    </row>
    <row r="142" spans="1:15">
      <c r="B142" s="64">
        <f>+B141+1</f>
        <v>77</v>
      </c>
      <c r="C142" s="65"/>
      <c r="D142" s="57" t="s">
        <v>245</v>
      </c>
      <c r="E142" s="61" t="str">
        <f>"(ln "&amp;B136&amp;" - sum ln "&amp;B137&amp;"  to ln "&amp;B141&amp;")"</f>
        <v>(ln 71 - sum ln 72  to ln 76)</v>
      </c>
      <c r="F142" s="61"/>
      <c r="G142" s="348">
        <f>G136-SUM(G137:G141)</f>
        <v>4075752.5099999988</v>
      </c>
      <c r="H142"/>
      <c r="I142" s="287" t="s">
        <v>269</v>
      </c>
      <c r="J142" s="288">
        <f>+$L$221</f>
        <v>0.99999930414784033</v>
      </c>
      <c r="K142" s="61"/>
      <c r="L142" s="296">
        <f>+J142*G142</f>
        <v>4075749.6738788127</v>
      </c>
      <c r="M142" s="276"/>
      <c r="N142" s="276"/>
      <c r="O142" s="61"/>
    </row>
    <row r="143" spans="1:15">
      <c r="B143" s="64">
        <f t="shared" si="7"/>
        <v>78</v>
      </c>
      <c r="C143" s="65"/>
      <c r="D143" s="57" t="s">
        <v>331</v>
      </c>
      <c r="E143" s="61" t="str">
        <f>"(ln "&amp;B137&amp;")"</f>
        <v>(ln 72)</v>
      </c>
      <c r="F143" s="61"/>
      <c r="G143" s="296">
        <f>+G137</f>
        <v>323643.98</v>
      </c>
      <c r="H143"/>
      <c r="I143" s="305" t="s">
        <v>604</v>
      </c>
      <c r="J143" s="288">
        <f>+$J$63</f>
        <v>0.99999930414784022</v>
      </c>
      <c r="K143" s="61"/>
      <c r="L143" s="296">
        <f>+J143*G143</f>
        <v>323643.75479163748</v>
      </c>
      <c r="M143" s="276"/>
      <c r="N143" s="276"/>
      <c r="O143" s="61"/>
    </row>
    <row r="144" spans="1:15">
      <c r="B144" s="64">
        <f t="shared" si="7"/>
        <v>79</v>
      </c>
      <c r="C144" s="65"/>
      <c r="D144" s="57" t="s">
        <v>356</v>
      </c>
      <c r="E144" s="61" t="str">
        <f>"Worksheet J ln "&amp;'OKT WS J Misc Exp'!A31&amp;".(E) (Note L)"</f>
        <v>Worksheet J ln 16.(E) (Note L)</v>
      </c>
      <c r="F144" s="61"/>
      <c r="G144" s="296">
        <f>+'OKT WS J Misc Exp'!F31</f>
        <v>24702.43</v>
      </c>
      <c r="H144"/>
      <c r="I144" s="287" t="s">
        <v>257</v>
      </c>
      <c r="J144" s="288">
        <f>+$L$211</f>
        <v>0.99999930414784033</v>
      </c>
      <c r="K144" s="61"/>
      <c r="L144" s="296">
        <f>J144*G144</f>
        <v>24702.412810760736</v>
      </c>
      <c r="M144" s="276"/>
      <c r="N144" s="276"/>
      <c r="O144" s="61"/>
    </row>
    <row r="145" spans="2:15">
      <c r="B145" s="64">
        <f>+B144+1</f>
        <v>80</v>
      </c>
      <c r="C145" s="65"/>
      <c r="D145" s="57" t="s">
        <v>358</v>
      </c>
      <c r="E145" s="61" t="str">
        <f>"Worksheet J ln "&amp;'OKT WS J Misc Exp'!A41&amp;".(E) (Note L)"</f>
        <v>Worksheet J ln 22.(E) (Note L)</v>
      </c>
      <c r="F145" s="61"/>
      <c r="G145" s="286">
        <f>'OKT WS J Misc Exp'!F41</f>
        <v>0</v>
      </c>
      <c r="H145"/>
      <c r="I145" s="305" t="s">
        <v>604</v>
      </c>
      <c r="J145" s="288">
        <f>+J63</f>
        <v>0.99999930414784022</v>
      </c>
      <c r="K145" s="61"/>
      <c r="L145" s="286">
        <f>+J145*G145</f>
        <v>0</v>
      </c>
      <c r="M145" s="276"/>
      <c r="N145" s="276"/>
      <c r="O145" s="61"/>
    </row>
    <row r="146" spans="2:15">
      <c r="B146" s="64">
        <f>+B145+1</f>
        <v>81</v>
      </c>
      <c r="C146" s="65"/>
      <c r="D146" s="57" t="s">
        <v>359</v>
      </c>
      <c r="E146" s="61" t="str">
        <f>"Worksheet J ln "&amp;'OKT WS J Misc Exp'!A50&amp;".(E) (Note L)"</f>
        <v>Worksheet J ln 28.(E) (Note L)</v>
      </c>
      <c r="F146" s="61"/>
      <c r="G146" s="286">
        <f>'OKT WS J Misc Exp'!F50</f>
        <v>94970.072</v>
      </c>
      <c r="H146"/>
      <c r="I146" s="287" t="s">
        <v>266</v>
      </c>
      <c r="J146" s="288">
        <v>1</v>
      </c>
      <c r="K146" s="61"/>
      <c r="L146" s="286">
        <f>J146*G146</f>
        <v>94970.072</v>
      </c>
      <c r="M146" s="276"/>
      <c r="N146" s="276"/>
      <c r="O146" s="61"/>
    </row>
    <row r="147" spans="2:15" ht="15.75" thickBot="1">
      <c r="B147" s="64">
        <f>+B146+1</f>
        <v>82</v>
      </c>
      <c r="C147" s="65"/>
      <c r="D147" s="57" t="s">
        <v>759</v>
      </c>
      <c r="E147" s="61" t="str">
        <f>"Worksheet S ln "&amp;'OKT WS S Reg Assets'!B33&amp;" (Note V)"</f>
        <v>Worksheet S ln 8 (Note V)</v>
      </c>
      <c r="F147" s="61"/>
      <c r="G147" s="286">
        <f>+'OKT WS S Reg Assets'!I33</f>
        <v>0</v>
      </c>
      <c r="H147"/>
      <c r="I147" s="287" t="s">
        <v>269</v>
      </c>
      <c r="J147" s="288">
        <f>+$L$221</f>
        <v>0.99999930414784033</v>
      </c>
      <c r="K147" s="61"/>
      <c r="L147" s="296">
        <f>J147*G147</f>
        <v>0</v>
      </c>
      <c r="M147" s="276"/>
      <c r="N147" s="276"/>
      <c r="O147" s="61"/>
    </row>
    <row r="148" spans="2:15">
      <c r="B148" s="64">
        <f>+B147+1</f>
        <v>83</v>
      </c>
      <c r="C148" s="65"/>
      <c r="D148" s="57" t="s">
        <v>246</v>
      </c>
      <c r="E148" s="283" t="str">
        <f>"(sum lns "&amp;B142&amp;" to "&amp;B147&amp;")"</f>
        <v>(sum lns 77 to 82)</v>
      </c>
      <c r="F148" s="61"/>
      <c r="G148" s="348">
        <f>SUM(G142:G147)</f>
        <v>4519068.9919999978</v>
      </c>
      <c r="H148"/>
      <c r="I148" s="287"/>
      <c r="J148" s="333"/>
      <c r="K148" s="61"/>
      <c r="L148" s="348">
        <f>SUM(L142:L147)</f>
        <v>4519065.9134812104</v>
      </c>
      <c r="M148" s="276"/>
      <c r="N148" s="276"/>
      <c r="O148" s="61"/>
    </row>
    <row r="149" spans="2:15" ht="15.75" thickBot="1">
      <c r="B149" s="64"/>
      <c r="C149" s="65"/>
      <c r="D149" s="57"/>
      <c r="E149" s="61"/>
      <c r="F149" s="61"/>
      <c r="G149" s="322"/>
      <c r="H149"/>
      <c r="I149" s="287"/>
      <c r="J149" s="333"/>
      <c r="K149" s="61"/>
      <c r="L149" s="322"/>
      <c r="M149" s="276"/>
      <c r="N149" s="276"/>
      <c r="O149" s="61"/>
    </row>
    <row r="150" spans="2:15">
      <c r="B150" s="64">
        <f>+B148+1</f>
        <v>84</v>
      </c>
      <c r="C150" s="65"/>
      <c r="D150" s="57" t="s">
        <v>247</v>
      </c>
      <c r="E150" s="61" t="str">
        <f>"(ln "&amp;B134&amp;" + ln "&amp;B148&amp;")"</f>
        <v>(ln 70 + ln 83)</v>
      </c>
      <c r="F150" s="61"/>
      <c r="G150" s="296">
        <f>G134+G148</f>
        <v>15078146.291999999</v>
      </c>
      <c r="H150"/>
      <c r="I150" s="287"/>
      <c r="J150" s="339"/>
      <c r="K150" s="61"/>
      <c r="L150" s="296">
        <f>+L148+L134</f>
        <v>15078135.865924466</v>
      </c>
      <c r="M150" s="276"/>
      <c r="N150" s="276"/>
      <c r="O150" s="61"/>
    </row>
    <row r="151" spans="2:15">
      <c r="B151" s="64"/>
      <c r="C151" s="65"/>
      <c r="D151" s="57"/>
      <c r="E151" s="61"/>
      <c r="F151" s="61"/>
      <c r="G151" s="286"/>
      <c r="H151"/>
      <c r="I151" s="313"/>
      <c r="J151" s="351"/>
      <c r="K151" s="350"/>
      <c r="L151" s="286"/>
      <c r="M151" s="276"/>
      <c r="N151" s="276"/>
      <c r="O151" s="61"/>
    </row>
    <row r="152" spans="2:15">
      <c r="B152" s="64">
        <f>+B150+1</f>
        <v>85</v>
      </c>
      <c r="C152" s="65"/>
      <c r="D152" s="314" t="s">
        <v>250</v>
      </c>
      <c r="E152" s="287"/>
      <c r="F152" s="287"/>
      <c r="G152" s="286"/>
      <c r="H152"/>
      <c r="I152" s="313"/>
      <c r="J152" s="350"/>
      <c r="K152" s="350"/>
      <c r="L152" s="286"/>
      <c r="M152" s="276"/>
      <c r="N152" s="276"/>
      <c r="O152" s="61"/>
    </row>
    <row r="153" spans="2:15">
      <c r="B153" s="64">
        <f t="shared" ref="B153:B156" si="8">+B152+1</f>
        <v>86</v>
      </c>
      <c r="C153" s="65"/>
      <c r="D153" s="317" t="s">
        <v>265</v>
      </c>
      <c r="E153" s="283" t="s">
        <v>870</v>
      </c>
      <c r="F153" s="352"/>
      <c r="G153" s="345">
        <v>42688107</v>
      </c>
      <c r="H153"/>
      <c r="I153" s="319" t="s">
        <v>257</v>
      </c>
      <c r="J153" s="288">
        <f>+L211</f>
        <v>0.99999930414784033</v>
      </c>
      <c r="K153" s="350"/>
      <c r="L153" s="321">
        <f>+G153*J153</f>
        <v>42688077.29538855</v>
      </c>
      <c r="M153" s="276"/>
      <c r="N153" s="276"/>
      <c r="O153" s="61"/>
    </row>
    <row r="154" spans="2:15">
      <c r="B154" s="64">
        <f>+B153+1</f>
        <v>87</v>
      </c>
      <c r="C154" s="65"/>
      <c r="D154" s="314" t="s">
        <v>273</v>
      </c>
      <c r="E154" s="352" t="s">
        <v>871</v>
      </c>
      <c r="F154" s="61"/>
      <c r="G154" s="345">
        <v>446660</v>
      </c>
      <c r="H154"/>
      <c r="I154" s="287" t="s">
        <v>269</v>
      </c>
      <c r="J154" s="288">
        <f>+$L$221</f>
        <v>0.99999930414784033</v>
      </c>
      <c r="K154" s="61"/>
      <c r="L154" s="296">
        <f>+J154*G154</f>
        <v>446659.68919067434</v>
      </c>
      <c r="M154" s="276"/>
      <c r="N154" s="276"/>
      <c r="O154" s="61"/>
    </row>
    <row r="155" spans="2:15" ht="15.75" thickBot="1">
      <c r="B155" s="64">
        <f t="shared" si="8"/>
        <v>88</v>
      </c>
      <c r="C155" s="65"/>
      <c r="D155" s="314" t="s">
        <v>274</v>
      </c>
      <c r="E155" s="352" t="s">
        <v>659</v>
      </c>
      <c r="F155" s="61"/>
      <c r="G155" s="345">
        <v>1753902</v>
      </c>
      <c r="H155"/>
      <c r="I155" s="287" t="s">
        <v>269</v>
      </c>
      <c r="J155" s="288">
        <f>+L221</f>
        <v>0.99999930414784033</v>
      </c>
      <c r="K155" s="61"/>
      <c r="L155" s="322">
        <f>+J155*G155</f>
        <v>1753900.7795435055</v>
      </c>
      <c r="M155" s="276"/>
      <c r="N155" s="276"/>
      <c r="O155" s="61"/>
    </row>
    <row r="156" spans="2:15">
      <c r="B156" s="64">
        <f t="shared" si="8"/>
        <v>89</v>
      </c>
      <c r="C156" s="65"/>
      <c r="D156" s="314" t="s">
        <v>384</v>
      </c>
      <c r="E156" s="283" t="str">
        <f>"(sum lns "&amp;B153&amp;" to "&amp;B155&amp;")"</f>
        <v>(sum lns 86 to 88)</v>
      </c>
      <c r="F156" s="61"/>
      <c r="G156" s="348">
        <f>SUM(G153:G155)</f>
        <v>44888669</v>
      </c>
      <c r="H156"/>
      <c r="I156" s="287"/>
      <c r="J156" s="61"/>
      <c r="K156" s="61"/>
      <c r="L156" s="296">
        <f>SUM(L153:L155)</f>
        <v>44888637.764122725</v>
      </c>
      <c r="M156" s="276"/>
      <c r="N156" s="276"/>
      <c r="O156" s="61"/>
    </row>
    <row r="157" spans="2:15">
      <c r="B157" s="64"/>
      <c r="C157" s="65"/>
      <c r="D157" s="314"/>
      <c r="E157" s="283"/>
      <c r="F157" s="61"/>
      <c r="G157" s="296"/>
      <c r="H157" s="61"/>
      <c r="I157" s="287"/>
      <c r="J157" s="61"/>
      <c r="K157" s="61"/>
      <c r="L157" s="296"/>
      <c r="M157" s="276"/>
      <c r="N157" s="276"/>
      <c r="O157" s="61"/>
    </row>
    <row r="158" spans="2:15">
      <c r="B158" s="64">
        <f>+B156+1</f>
        <v>90</v>
      </c>
      <c r="C158" s="65"/>
      <c r="D158" s="314" t="s">
        <v>209</v>
      </c>
      <c r="E158" s="61" t="s">
        <v>412</v>
      </c>
      <c r="G158" s="296"/>
      <c r="H158" s="61"/>
      <c r="I158" s="287"/>
      <c r="J158" s="61"/>
      <c r="K158" s="61"/>
      <c r="L158" s="296"/>
      <c r="M158" s="276"/>
      <c r="N158" s="276"/>
      <c r="O158" s="61"/>
    </row>
    <row r="159" spans="2:15">
      <c r="B159" s="64">
        <f t="shared" ref="B159:B165" si="9">+B158+1</f>
        <v>91</v>
      </c>
      <c r="C159" s="65"/>
      <c r="D159" s="314" t="s">
        <v>275</v>
      </c>
      <c r="G159" s="296"/>
      <c r="H159" s="61"/>
      <c r="I159" s="287"/>
      <c r="K159" s="61"/>
      <c r="L159" s="296"/>
      <c r="M159" s="276"/>
      <c r="N159" s="276"/>
      <c r="O159" s="61"/>
    </row>
    <row r="160" spans="2:15">
      <c r="B160" s="64">
        <f t="shared" si="9"/>
        <v>92</v>
      </c>
      <c r="C160" s="65"/>
      <c r="D160" s="314" t="s">
        <v>276</v>
      </c>
      <c r="E160" s="61" t="s">
        <v>185</v>
      </c>
      <c r="F160" s="61"/>
      <c r="G160" s="296">
        <f>+'OKT WS L Other Taxes'!I54</f>
        <v>0</v>
      </c>
      <c r="H160" s="296"/>
      <c r="I160" s="287" t="s">
        <v>269</v>
      </c>
      <c r="J160" s="288">
        <f>+L221</f>
        <v>0.99999930414784033</v>
      </c>
      <c r="K160" s="61"/>
      <c r="L160" s="296">
        <f>+J160*G160</f>
        <v>0</v>
      </c>
      <c r="M160" s="276"/>
      <c r="N160" s="276"/>
      <c r="O160" s="61"/>
    </row>
    <row r="161" spans="2:15">
      <c r="B161" s="64">
        <f t="shared" si="9"/>
        <v>93</v>
      </c>
      <c r="C161" s="65"/>
      <c r="D161" s="314" t="s">
        <v>277</v>
      </c>
      <c r="E161" s="61" t="s">
        <v>251</v>
      </c>
      <c r="F161" s="61"/>
      <c r="G161" s="296"/>
      <c r="H161" s="296"/>
      <c r="I161" s="287"/>
      <c r="K161" s="61"/>
      <c r="L161" s="296"/>
      <c r="M161" s="276"/>
      <c r="N161" s="276"/>
      <c r="O161" s="61"/>
    </row>
    <row r="162" spans="2:15">
      <c r="B162" s="64">
        <f t="shared" si="9"/>
        <v>94</v>
      </c>
      <c r="C162" s="65"/>
      <c r="D162" s="314" t="s">
        <v>278</v>
      </c>
      <c r="E162" s="61" t="s">
        <v>186</v>
      </c>
      <c r="F162" s="61"/>
      <c r="G162" s="296">
        <f>+'OKT WS L Other Taxes'!G54</f>
        <v>13500174.27</v>
      </c>
      <c r="H162" s="296"/>
      <c r="I162" s="287" t="s">
        <v>604</v>
      </c>
      <c r="J162" s="288">
        <f>+J63</f>
        <v>0.99999930414784022</v>
      </c>
      <c r="K162" s="61"/>
      <c r="L162" s="296">
        <f>+G162*J162</f>
        <v>13500164.875874577</v>
      </c>
      <c r="M162" s="276"/>
      <c r="N162" s="276"/>
      <c r="O162" s="61"/>
    </row>
    <row r="163" spans="2:15">
      <c r="B163" s="64">
        <f t="shared" si="9"/>
        <v>95</v>
      </c>
      <c r="C163" s="65"/>
      <c r="D163" s="314" t="s">
        <v>823</v>
      </c>
      <c r="E163" s="61" t="s">
        <v>187</v>
      </c>
      <c r="F163" s="61"/>
      <c r="G163" s="296">
        <f>+'OKT WS L Other Taxes'!M54</f>
        <v>0</v>
      </c>
      <c r="H163" s="276"/>
      <c r="I163" s="287" t="s">
        <v>264</v>
      </c>
      <c r="J163" s="288">
        <v>0</v>
      </c>
      <c r="K163" s="61"/>
      <c r="L163" s="296">
        <f>+J163*G163</f>
        <v>0</v>
      </c>
      <c r="M163" s="276"/>
      <c r="N163" s="276"/>
      <c r="O163" s="61"/>
    </row>
    <row r="164" spans="2:15" ht="15.75" thickBot="1">
      <c r="B164" s="64">
        <f t="shared" si="9"/>
        <v>96</v>
      </c>
      <c r="C164" s="65"/>
      <c r="D164" s="314" t="s">
        <v>315</v>
      </c>
      <c r="E164" s="61" t="s">
        <v>188</v>
      </c>
      <c r="F164" s="61"/>
      <c r="G164" s="322">
        <f>+'OKT WS L Other Taxes'!K54</f>
        <v>18314.13</v>
      </c>
      <c r="H164" s="276"/>
      <c r="I164" s="287" t="s">
        <v>604</v>
      </c>
      <c r="J164" s="288">
        <f>+J63</f>
        <v>0.99999930414784022</v>
      </c>
      <c r="K164" s="61"/>
      <c r="L164" s="322">
        <f>+J164*G164</f>
        <v>18314.117256073085</v>
      </c>
      <c r="M164" s="276"/>
      <c r="N164" s="276"/>
      <c r="O164" s="61"/>
    </row>
    <row r="165" spans="2:15">
      <c r="B165" s="64">
        <f t="shared" si="9"/>
        <v>97</v>
      </c>
      <c r="C165" s="65"/>
      <c r="D165" s="314" t="s">
        <v>210</v>
      </c>
      <c r="E165" s="283" t="str">
        <f>"(sum lns "&amp;B160&amp;" to "&amp;B164&amp;")"</f>
        <v>(sum lns 92 to 96)</v>
      </c>
      <c r="F165" s="61"/>
      <c r="G165" s="296">
        <f>SUM(G160:G164)</f>
        <v>13518488.4</v>
      </c>
      <c r="H165" s="61"/>
      <c r="I165" s="287"/>
      <c r="J165" s="353"/>
      <c r="K165" s="61"/>
      <c r="L165" s="296">
        <f>SUM(L160:L164)</f>
        <v>13518478.99313065</v>
      </c>
      <c r="M165" s="276"/>
      <c r="N165" s="276"/>
      <c r="O165" s="61"/>
    </row>
    <row r="166" spans="2:15">
      <c r="B166" s="64"/>
      <c r="C166" s="65"/>
      <c r="D166" s="314"/>
      <c r="E166" s="61"/>
      <c r="F166" s="61"/>
      <c r="G166" s="61"/>
      <c r="H166" s="61"/>
      <c r="I166" s="287"/>
      <c r="J166" s="353"/>
      <c r="K166" s="61"/>
      <c r="L166" s="61"/>
      <c r="M166" s="276"/>
      <c r="N166" s="276"/>
      <c r="O166" s="61"/>
    </row>
    <row r="167" spans="2:15">
      <c r="B167" s="64">
        <f>+B165+1</f>
        <v>98</v>
      </c>
      <c r="C167" s="65"/>
      <c r="D167" s="314" t="s">
        <v>402</v>
      </c>
      <c r="E167" s="61" t="s">
        <v>411</v>
      </c>
      <c r="F167" s="354"/>
      <c r="G167" s="61"/>
      <c r="H167" s="276"/>
      <c r="I167" s="100"/>
      <c r="K167" s="61"/>
      <c r="M167" s="276"/>
      <c r="N167" s="276"/>
      <c r="O167" s="61"/>
    </row>
    <row r="168" spans="2:15">
      <c r="B168" s="64">
        <f t="shared" ref="B168:B175" si="10">+B167+1</f>
        <v>99</v>
      </c>
      <c r="C168" s="65"/>
      <c r="D168" s="355" t="s">
        <v>403</v>
      </c>
      <c r="E168" s="61"/>
      <c r="F168" s="356"/>
      <c r="G168" s="357">
        <f>IF(F316&gt;0,1-(((1-F317)*(1-F316))/(1-F317*F316*F318)),0)</f>
        <v>0.24025699999999994</v>
      </c>
      <c r="H168" s="358"/>
      <c r="I168" s="100"/>
      <c r="J168" s="358"/>
      <c r="K168" s="61"/>
      <c r="M168" s="276"/>
      <c r="N168" s="276"/>
      <c r="O168" s="61"/>
    </row>
    <row r="169" spans="2:15">
      <c r="B169" s="64">
        <f t="shared" si="10"/>
        <v>100</v>
      </c>
      <c r="C169" s="65"/>
      <c r="D169" s="82" t="s">
        <v>404</v>
      </c>
      <c r="E169" s="61"/>
      <c r="F169" s="356"/>
      <c r="G169" s="357">
        <f>IF(L235&gt;0,($G168/(1-$G168))*(1-$L235/$L238),0)</f>
        <v>0.24156300223822261</v>
      </c>
      <c r="H169" s="358"/>
      <c r="I169" s="100"/>
      <c r="K169" s="61"/>
      <c r="M169" s="276"/>
      <c r="N169" s="276"/>
      <c r="O169" s="61"/>
    </row>
    <row r="170" spans="2:15">
      <c r="B170" s="64">
        <f t="shared" si="10"/>
        <v>101</v>
      </c>
      <c r="C170" s="65"/>
      <c r="D170" s="314" t="str">
        <f>"       where WCLTD=(ln "&amp;B235&amp;") and WACC = (ln "&amp;B238&amp;")"</f>
        <v xml:space="preserve">       where WCLTD=(ln 141) and WACC = (ln 144)</v>
      </c>
      <c r="E170" s="61"/>
      <c r="F170" s="354"/>
      <c r="G170" s="61"/>
      <c r="H170" s="276"/>
      <c r="I170" s="100"/>
      <c r="J170" s="359"/>
      <c r="K170" s="61"/>
      <c r="L170" s="360"/>
      <c r="M170" s="276"/>
      <c r="N170" s="276"/>
      <c r="O170" s="61"/>
    </row>
    <row r="171" spans="2:15">
      <c r="B171" s="64">
        <f t="shared" si="10"/>
        <v>102</v>
      </c>
      <c r="C171" s="65"/>
      <c r="D171" s="314" t="s">
        <v>410</v>
      </c>
      <c r="E171" s="361"/>
      <c r="F171" s="356"/>
      <c r="G171" s="61"/>
      <c r="H171" s="276"/>
      <c r="I171" s="100"/>
      <c r="J171" s="359"/>
      <c r="K171" s="61"/>
      <c r="M171" s="276"/>
      <c r="N171" s="276"/>
      <c r="O171" s="61"/>
    </row>
    <row r="172" spans="2:15">
      <c r="B172" s="64">
        <f t="shared" si="10"/>
        <v>103</v>
      </c>
      <c r="C172" s="65"/>
      <c r="D172" s="355" t="str">
        <f>"      GRCF=1 / (1 - T)  = (from ln "&amp;B168&amp;")"</f>
        <v xml:space="preserve">      GRCF=1 / (1 - T)  = (from ln 99)</v>
      </c>
      <c r="E172" s="354"/>
      <c r="F172" s="354"/>
      <c r="G172" s="362">
        <f>IF(G168&gt;0,1/(1-G168),0)</f>
        <v>1.3162345687949739</v>
      </c>
      <c r="H172" s="276"/>
      <c r="I172" s="305"/>
      <c r="J172" s="363"/>
      <c r="K172" s="296"/>
      <c r="L172" s="304"/>
      <c r="M172" s="276"/>
      <c r="N172" s="276"/>
      <c r="O172" s="61"/>
    </row>
    <row r="173" spans="2:15">
      <c r="B173" s="64">
        <f t="shared" si="10"/>
        <v>104</v>
      </c>
      <c r="C173" s="65"/>
      <c r="D173" s="314" t="s">
        <v>405</v>
      </c>
      <c r="E173" s="333" t="s">
        <v>176</v>
      </c>
      <c r="F173" s="354"/>
      <c r="G173" s="345">
        <v>0</v>
      </c>
      <c r="H173"/>
      <c r="I173" s="305"/>
      <c r="J173" s="364"/>
      <c r="K173" s="296"/>
      <c r="M173" s="276"/>
      <c r="N173" s="276"/>
      <c r="O173" s="61"/>
    </row>
    <row r="174" spans="2:15">
      <c r="B174" s="64">
        <f t="shared" si="10"/>
        <v>105</v>
      </c>
      <c r="C174" s="65"/>
      <c r="D174" s="112" t="s">
        <v>500</v>
      </c>
      <c r="E174" s="333" t="str">
        <f xml:space="preserve"> "Company Records (Note O) and WS C-4 Ln "&amp;'OKT WS C-4 Excess FIT'!A53</f>
        <v>Company Records (Note O) and WS C-4 Ln 24</v>
      </c>
      <c r="F174" s="354"/>
      <c r="G174" s="345">
        <v>880191.06159293232</v>
      </c>
      <c r="H174"/>
      <c r="I174" s="305" t="s">
        <v>266</v>
      </c>
      <c r="J174" s="364"/>
      <c r="K174" s="346"/>
      <c r="L174" s="286">
        <f>+'OKT WS C-4 Excess FIT'!D53</f>
        <v>882045.26159293216</v>
      </c>
      <c r="M174"/>
      <c r="N174"/>
      <c r="O174" s="61"/>
    </row>
    <row r="175" spans="2:15">
      <c r="B175" s="64">
        <f t="shared" si="10"/>
        <v>106</v>
      </c>
      <c r="C175" s="65"/>
      <c r="D175" s="112" t="s">
        <v>587</v>
      </c>
      <c r="E175" s="333" t="s">
        <v>658</v>
      </c>
      <c r="F175" s="354"/>
      <c r="G175" s="345">
        <v>115844.92000000001</v>
      </c>
      <c r="H175"/>
      <c r="I175" s="305" t="s">
        <v>266</v>
      </c>
      <c r="J175" s="364"/>
      <c r="K175" s="346"/>
      <c r="L175" s="345">
        <v>115844.92000000001</v>
      </c>
      <c r="M175" s="2160"/>
      <c r="N175"/>
      <c r="O175" s="61"/>
    </row>
    <row r="176" spans="2:15">
      <c r="B176" s="64"/>
      <c r="C176" s="65"/>
      <c r="D176" s="314"/>
      <c r="E176" s="61"/>
      <c r="F176" s="356"/>
      <c r="G176" s="296"/>
      <c r="H176" s="276"/>
      <c r="I176" s="305"/>
      <c r="J176" s="360"/>
      <c r="K176" s="296"/>
      <c r="M176"/>
      <c r="N176"/>
      <c r="O176" s="61"/>
    </row>
    <row r="177" spans="2:15">
      <c r="B177" s="64">
        <f>+B175+1</f>
        <v>107</v>
      </c>
      <c r="C177" s="65"/>
      <c r="D177" s="355" t="s">
        <v>418</v>
      </c>
      <c r="E177" s="365" t="str">
        <f>"(ln "&amp;B169&amp;" * ln "&amp;B184&amp;")"</f>
        <v>(ln 100 * ln 112)</v>
      </c>
      <c r="F177" s="366"/>
      <c r="G177" s="296">
        <f>+G169*G184</f>
        <v>19284500.466738507</v>
      </c>
      <c r="H177" s="276"/>
      <c r="I177" s="305"/>
      <c r="J177" s="360"/>
      <c r="K177" s="296"/>
      <c r="L177" s="296">
        <f>+L184*G169</f>
        <v>20573995.49522214</v>
      </c>
      <c r="M177"/>
      <c r="N177"/>
      <c r="O177" s="61"/>
    </row>
    <row r="178" spans="2:15">
      <c r="B178" s="64">
        <f>+B177+1</f>
        <v>108</v>
      </c>
      <c r="C178" s="65"/>
      <c r="D178" s="82" t="s">
        <v>419</v>
      </c>
      <c r="E178" s="365" t="str">
        <f>"(ln "&amp;B172&amp;" * ln "&amp;B173&amp;")"</f>
        <v>(ln 103 * ln 104)</v>
      </c>
      <c r="F178" s="365"/>
      <c r="G178" s="286">
        <f>G172*G173</f>
        <v>0</v>
      </c>
      <c r="H178" s="276"/>
      <c r="I178" s="65" t="s">
        <v>604</v>
      </c>
      <c r="J178" s="288">
        <f>+J63</f>
        <v>0.99999930414784022</v>
      </c>
      <c r="K178" s="296"/>
      <c r="L178" s="286">
        <f>+G178*J178</f>
        <v>0</v>
      </c>
      <c r="M178"/>
      <c r="N178"/>
      <c r="O178" s="61"/>
    </row>
    <row r="179" spans="2:15">
      <c r="B179" s="64">
        <f>+B178+1</f>
        <v>109</v>
      </c>
      <c r="C179" s="65"/>
      <c r="D179" s="112" t="s">
        <v>500</v>
      </c>
      <c r="E179" s="365" t="str">
        <f>"(ln "&amp;B172&amp;" * ln "&amp;B174&amp;")"</f>
        <v>(ln 103 * ln 105)</v>
      </c>
      <c r="F179" s="365"/>
      <c r="G179" s="286">
        <f>G172*G174</f>
        <v>1158537.9024129636</v>
      </c>
      <c r="H179" s="276"/>
      <c r="I179" s="305" t="s">
        <v>266</v>
      </c>
      <c r="J179" s="288"/>
      <c r="K179" s="296"/>
      <c r="L179" s="286">
        <f>G172*L174</f>
        <v>1160978.464550423</v>
      </c>
      <c r="M179" s="276"/>
      <c r="N179" s="276"/>
      <c r="O179" s="61"/>
    </row>
    <row r="180" spans="2:15">
      <c r="B180" s="64">
        <f>+B179+1</f>
        <v>110</v>
      </c>
      <c r="C180" s="65"/>
      <c r="D180" s="112" t="s">
        <v>587</v>
      </c>
      <c r="E180" s="365" t="str">
        <f>"(ln "&amp;B172&amp;" * ln "&amp;B175&amp;")"</f>
        <v>(ln 103 * ln 106)</v>
      </c>
      <c r="F180" s="365"/>
      <c r="G180" s="286">
        <f>G172*G175</f>
        <v>152479.08832328828</v>
      </c>
      <c r="H180" s="276"/>
      <c r="I180" s="305" t="s">
        <v>266</v>
      </c>
      <c r="J180" s="288"/>
      <c r="K180" s="296"/>
      <c r="L180" s="286">
        <f>G172*L175</f>
        <v>152479.08832328828</v>
      </c>
      <c r="M180" s="276"/>
      <c r="N180" s="276"/>
      <c r="O180" s="61"/>
    </row>
    <row r="181" spans="2:15">
      <c r="B181" s="64"/>
      <c r="C181" s="65"/>
      <c r="D181" s="112"/>
      <c r="E181" s="365"/>
      <c r="F181" s="365"/>
      <c r="G181" s="286"/>
      <c r="H181" s="276"/>
      <c r="I181" s="367"/>
      <c r="J181" s="288"/>
      <c r="K181" s="296"/>
      <c r="L181" s="286"/>
      <c r="M181" s="276"/>
      <c r="N181" s="276"/>
      <c r="O181" s="61"/>
    </row>
    <row r="182" spans="2:15">
      <c r="B182" s="64">
        <f>+B180+1</f>
        <v>111</v>
      </c>
      <c r="C182" s="65"/>
      <c r="D182" s="355" t="s">
        <v>211</v>
      </c>
      <c r="E182" s="61" t="str">
        <f>"(sum lns "&amp;B177&amp;" to "&amp;B180&amp;")"</f>
        <v>(sum lns 107 to 110)</v>
      </c>
      <c r="F182" s="365"/>
      <c r="G182" s="367">
        <f>SUM(G177:G180)</f>
        <v>20595517.457474757</v>
      </c>
      <c r="H182" s="276"/>
      <c r="I182" s="305" t="s">
        <v>251</v>
      </c>
      <c r="J182" s="368"/>
      <c r="K182" s="296"/>
      <c r="L182" s="296">
        <f>SUM(L177:L180)</f>
        <v>21887453.048095852</v>
      </c>
      <c r="M182" s="276"/>
      <c r="N182" s="276"/>
      <c r="O182" s="61"/>
    </row>
    <row r="183" spans="2:15">
      <c r="B183" s="64"/>
      <c r="C183" s="65"/>
      <c r="D183" s="314"/>
      <c r="E183" s="61"/>
      <c r="F183" s="61"/>
      <c r="G183" s="61"/>
      <c r="H183" s="61"/>
      <c r="I183" s="287"/>
      <c r="J183" s="353"/>
      <c r="K183" s="61"/>
      <c r="L183" s="61"/>
      <c r="M183" s="276"/>
      <c r="N183" s="276"/>
      <c r="O183" s="61"/>
    </row>
    <row r="184" spans="2:15">
      <c r="B184" s="64">
        <f>+B182+1</f>
        <v>112</v>
      </c>
      <c r="C184" s="65"/>
      <c r="D184" s="355" t="s">
        <v>332</v>
      </c>
      <c r="E184" s="355" t="str">
        <f>"(ln "&amp;B113&amp;" * ln "&amp;B238&amp;")"</f>
        <v>(ln 63 * ln 144)</v>
      </c>
      <c r="F184" s="337"/>
      <c r="G184" s="296">
        <f>+$L238*G113</f>
        <v>79832177.477744207</v>
      </c>
      <c r="H184" s="61"/>
      <c r="I184" s="305"/>
      <c r="J184" s="296"/>
      <c r="K184" s="296"/>
      <c r="L184" s="296">
        <f>+L238*L113</f>
        <v>85170308.799741805</v>
      </c>
      <c r="M184" s="276"/>
      <c r="N184" s="276"/>
    </row>
    <row r="185" spans="2:15">
      <c r="B185" s="64"/>
      <c r="C185" s="65"/>
      <c r="D185" s="355"/>
      <c r="G185" s="296"/>
      <c r="H185" s="296"/>
      <c r="I185" s="305"/>
      <c r="J185" s="305"/>
      <c r="K185" s="296"/>
      <c r="L185" s="296"/>
      <c r="M185" s="276"/>
      <c r="N185" s="276"/>
    </row>
    <row r="186" spans="2:15">
      <c r="B186" s="64">
        <f>+B184+1</f>
        <v>113</v>
      </c>
      <c r="C186" s="65"/>
      <c r="D186" s="369" t="str">
        <f>"INTEREST ON IPP CONTRIBUTION FOR CONST. (Note E) (Worksheet E, ln "&amp;'OKT WS E IPP Credits'!A12&amp;")"</f>
        <v>INTEREST ON IPP CONTRIBUTION FOR CONST. (Note E) (Worksheet E, ln 2)</v>
      </c>
      <c r="F186" s="352"/>
      <c r="G186" s="296">
        <f>'OKT WS E IPP Credits'!C12</f>
        <v>0</v>
      </c>
      <c r="H186" s="296"/>
      <c r="I186" s="340" t="s">
        <v>266</v>
      </c>
      <c r="J186" s="288">
        <v>1</v>
      </c>
      <c r="K186" s="321"/>
      <c r="L186" s="296">
        <f>+J186*G186</f>
        <v>0</v>
      </c>
      <c r="M186" s="276"/>
      <c r="N186" s="276"/>
    </row>
    <row r="187" spans="2:15" ht="15.75" thickBot="1">
      <c r="B187" s="64"/>
      <c r="C187" s="65"/>
      <c r="D187" s="314"/>
      <c r="G187" s="322"/>
      <c r="H187" s="370"/>
      <c r="I187" s="305"/>
      <c r="J187" s="305"/>
      <c r="K187" s="296"/>
      <c r="L187" s="322"/>
      <c r="M187" s="276"/>
      <c r="N187" s="276"/>
    </row>
    <row r="188" spans="2:15" ht="15.75" thickBot="1">
      <c r="B188" s="64">
        <f>+B186+1</f>
        <v>114</v>
      </c>
      <c r="C188" s="65"/>
      <c r="D188" s="57" t="s">
        <v>141</v>
      </c>
      <c r="E188" s="371"/>
      <c r="F188" s="371"/>
      <c r="G188" s="341">
        <f>G150+G156+G165+G182+G184+G186</f>
        <v>173912998.62721896</v>
      </c>
      <c r="H188" s="296"/>
      <c r="I188" s="305"/>
      <c r="J188" s="339"/>
      <c r="K188" s="296"/>
      <c r="L188" s="341">
        <f>L150+L156+L165+L182+L184+L186</f>
        <v>180543014.47101551</v>
      </c>
      <c r="M188" s="341">
        <v>162956483.02560776</v>
      </c>
      <c r="N188" s="276"/>
    </row>
    <row r="189" spans="2:15" ht="15.75" thickTop="1">
      <c r="B189" s="64">
        <f>+B188+1</f>
        <v>115</v>
      </c>
      <c r="C189" s="65"/>
      <c r="D189" s="57" t="str">
        <f>"    (sum lns "&amp;B150&amp;", "&amp;B156&amp;", "&amp;B165&amp;", "&amp;B182&amp;", "&amp;B184&amp;", "&amp;B186&amp;")"</f>
        <v xml:space="preserve">    (sum lns 84, 89, 97, 111, 112, 113)</v>
      </c>
      <c r="E189" s="371"/>
      <c r="F189" s="371"/>
      <c r="G189" s="286"/>
      <c r="H189" s="296"/>
      <c r="I189" s="296"/>
      <c r="J189" s="339"/>
      <c r="K189" s="296"/>
      <c r="L189" s="286"/>
      <c r="M189" s="286"/>
      <c r="N189" s="276"/>
    </row>
    <row r="190" spans="2:15">
      <c r="B190" s="64"/>
      <c r="C190" s="65"/>
      <c r="D190" s="57"/>
      <c r="E190" s="371"/>
      <c r="F190" s="371"/>
      <c r="G190" s="286"/>
      <c r="H190" s="296"/>
      <c r="I190" s="296"/>
      <c r="J190" s="339"/>
      <c r="K190" s="296"/>
      <c r="L190" s="286"/>
      <c r="M190" s="286"/>
      <c r="N190" s="276"/>
    </row>
    <row r="191" spans="2:15">
      <c r="B191" s="64">
        <f>+B189+1</f>
        <v>116</v>
      </c>
      <c r="C191" s="65"/>
      <c r="D191" s="57" t="s">
        <v>409</v>
      </c>
      <c r="F191" s="371"/>
      <c r="G191" s="302">
        <f>+'OKT WS K State Taxes'!I48</f>
        <v>0</v>
      </c>
      <c r="H191" s="296"/>
      <c r="I191" s="305" t="s">
        <v>266</v>
      </c>
      <c r="J191" s="339"/>
      <c r="K191" s="296"/>
      <c r="L191" s="302">
        <f>+'OKT WS K State Taxes'!K48</f>
        <v>0</v>
      </c>
      <c r="M191" s="302">
        <v>0</v>
      </c>
      <c r="N191" s="276"/>
    </row>
    <row r="192" spans="2:15" ht="15.75">
      <c r="B192" s="64"/>
      <c r="C192" s="276"/>
      <c r="D192" s="276"/>
      <c r="E192" s="276"/>
      <c r="F192" s="276"/>
      <c r="G192" s="276"/>
      <c r="H192" s="276"/>
      <c r="I192" s="273"/>
      <c r="J192" s="328"/>
      <c r="K192" s="273"/>
      <c r="N192" s="276"/>
    </row>
    <row r="193" spans="2:16" ht="15.75" thickBot="1">
      <c r="B193" s="64">
        <f>+B191+1</f>
        <v>117</v>
      </c>
      <c r="C193" s="65"/>
      <c r="D193" s="53" t="s">
        <v>649</v>
      </c>
      <c r="E193" s="61" t="str">
        <f>"(ln "&amp;B188&amp;" + "&amp;B191&amp;")"</f>
        <v>(ln 114 + 116)</v>
      </c>
      <c r="G193" s="372">
        <f>+G188+G191</f>
        <v>173912998.62721896</v>
      </c>
      <c r="J193" s="339"/>
      <c r="L193" s="372">
        <f>+L188+L191</f>
        <v>180543014.47101551</v>
      </c>
      <c r="M193" s="372">
        <v>162956483.02560776</v>
      </c>
      <c r="N193" s="276"/>
    </row>
    <row r="194" spans="2:16" ht="15.75" thickTop="1">
      <c r="B194" s="64"/>
      <c r="C194" s="65"/>
      <c r="D194" s="57"/>
      <c r="F194" s="373"/>
      <c r="M194" s="276"/>
      <c r="N194" s="276"/>
    </row>
    <row r="195" spans="2:16">
      <c r="B195" s="64"/>
      <c r="C195" s="65"/>
      <c r="F195" s="373"/>
      <c r="M195" s="276"/>
      <c r="N195" s="276"/>
    </row>
    <row r="196" spans="2:16">
      <c r="B196" s="64"/>
      <c r="C196" s="65"/>
      <c r="D196" s="57"/>
      <c r="F196" s="100" t="str">
        <f>F116</f>
        <v xml:space="preserve">AEP West SPP Member Transmission Companies </v>
      </c>
      <c r="M196" s="276"/>
      <c r="N196" s="276"/>
    </row>
    <row r="197" spans="2:16">
      <c r="B197" s="64"/>
      <c r="C197" s="65"/>
      <c r="D197" s="57"/>
      <c r="F197" s="100" t="str">
        <f>F117</f>
        <v>Transmission Cost of Service Formula Rate</v>
      </c>
      <c r="M197" s="276"/>
      <c r="N197" s="276"/>
    </row>
    <row r="198" spans="2:16">
      <c r="B198" s="53"/>
      <c r="C198" s="65"/>
      <c r="F198" s="100" t="str">
        <f>F118</f>
        <v>Utilizing Actual / Projected Cost Data for the 2022 Rate Year</v>
      </c>
      <c r="M198" s="276"/>
      <c r="N198" s="276"/>
    </row>
    <row r="199" spans="2:16">
      <c r="B199" s="64"/>
      <c r="C199" s="65"/>
      <c r="E199" s="100"/>
      <c r="F199" s="100"/>
      <c r="G199" s="100"/>
      <c r="H199" s="100"/>
      <c r="I199" s="100"/>
      <c r="J199" s="100"/>
      <c r="K199" s="100"/>
      <c r="M199" s="276"/>
      <c r="N199" s="276"/>
    </row>
    <row r="200" spans="2:16">
      <c r="B200" s="64"/>
      <c r="C200" s="65"/>
      <c r="E200" s="57"/>
      <c r="F200" s="100" t="str">
        <f>F120</f>
        <v>AEP OKLAHOMA TRANSMISSION COMPANY, INC.</v>
      </c>
      <c r="G200" s="57"/>
      <c r="H200" s="57"/>
      <c r="I200" s="57"/>
      <c r="J200" s="57"/>
      <c r="K200" s="57"/>
      <c r="L200" s="57"/>
      <c r="M200" s="276"/>
      <c r="N200" s="276"/>
    </row>
    <row r="201" spans="2:16">
      <c r="B201" s="64"/>
      <c r="C201" s="65"/>
      <c r="E201" s="57"/>
      <c r="F201" s="100"/>
      <c r="G201" s="296"/>
      <c r="H201" s="57"/>
      <c r="I201" s="57"/>
      <c r="J201" s="57"/>
      <c r="K201" s="57"/>
      <c r="L201" s="296"/>
      <c r="M201" s="276"/>
      <c r="N201" s="276"/>
    </row>
    <row r="202" spans="2:16" ht="15.75">
      <c r="B202" s="64"/>
      <c r="C202" s="65"/>
      <c r="F202" s="71" t="s">
        <v>215</v>
      </c>
      <c r="H202" s="60"/>
      <c r="I202" s="60"/>
      <c r="J202" s="60"/>
      <c r="K202" s="60"/>
      <c r="L202" s="60"/>
      <c r="M202" s="276"/>
      <c r="N202" s="276"/>
    </row>
    <row r="203" spans="2:16" ht="15.75">
      <c r="B203" s="64"/>
      <c r="C203" s="65"/>
      <c r="D203" s="374"/>
      <c r="E203" s="60"/>
      <c r="F203" s="60"/>
      <c r="G203" s="60"/>
      <c r="H203" s="60"/>
      <c r="I203" s="60"/>
      <c r="J203" s="60"/>
      <c r="K203" s="60"/>
      <c r="L203" s="60"/>
      <c r="M203" s="276"/>
      <c r="N203" s="276"/>
    </row>
    <row r="204" spans="2:16" ht="15.75">
      <c r="B204" s="64" t="s">
        <v>253</v>
      </c>
      <c r="C204" s="65"/>
      <c r="D204" s="374"/>
      <c r="E204" s="60"/>
      <c r="F204" s="60"/>
      <c r="G204" s="60"/>
      <c r="H204" s="60"/>
      <c r="I204" s="60"/>
      <c r="J204" s="60"/>
      <c r="K204" s="60"/>
      <c r="L204" s="60"/>
      <c r="M204" s="276"/>
      <c r="N204" s="276"/>
    </row>
    <row r="205" spans="2:16" ht="15.75" thickBot="1">
      <c r="B205" s="73" t="s">
        <v>254</v>
      </c>
      <c r="C205" s="74"/>
      <c r="D205" s="57" t="s">
        <v>910</v>
      </c>
      <c r="E205" s="60"/>
      <c r="F205" s="60"/>
      <c r="G205" s="60"/>
      <c r="H205" s="60"/>
      <c r="I205" s="60"/>
      <c r="J205" s="60"/>
      <c r="M205" s="276"/>
      <c r="N205" s="276"/>
      <c r="P205" s="276"/>
    </row>
    <row r="206" spans="2:16">
      <c r="B206" s="64">
        <f>+B193+1</f>
        <v>118</v>
      </c>
      <c r="C206" s="65"/>
      <c r="D206" s="60" t="s">
        <v>302</v>
      </c>
      <c r="E206" s="375" t="str">
        <f>"(ln "&amp;B56&amp;")"</f>
        <v>(ln 16)</v>
      </c>
      <c r="F206" s="83"/>
      <c r="H206" s="350"/>
      <c r="I206" s="350"/>
      <c r="J206" s="350"/>
      <c r="K206" s="350"/>
      <c r="L206" s="286">
        <f>+G56</f>
        <v>1380374997.5384614</v>
      </c>
      <c r="M206" s="276"/>
      <c r="N206" s="276"/>
      <c r="P206" s="276"/>
    </row>
    <row r="207" spans="2:16">
      <c r="B207" s="64">
        <f>+B206+1</f>
        <v>119</v>
      </c>
      <c r="C207" s="65"/>
      <c r="D207" s="376" t="str">
        <f>"  Less transmission plant excluded from SPP Tariff  (Worksheet A-1, ln "&amp;'OKT WS A-1 - Plant'!A44&amp;" Col. (F))  (Note Q)"</f>
        <v xml:space="preserve">  Less transmission plant excluded from SPP Tariff  (Worksheet A-1, ln 28 Col. (F))  (Note Q)</v>
      </c>
      <c r="E207" s="82"/>
      <c r="F207" s="82"/>
      <c r="G207" s="377"/>
      <c r="H207" s="82"/>
      <c r="I207" s="82"/>
      <c r="J207" s="82"/>
      <c r="K207" s="82"/>
      <c r="L207" s="286">
        <f>+'OKT WS A-1 - Plant'!G44</f>
        <v>960.53692307692302</v>
      </c>
      <c r="M207" s="276"/>
      <c r="N207" s="276"/>
      <c r="P207" s="276"/>
    </row>
    <row r="208" spans="2:16" ht="15.75" thickBot="1">
      <c r="B208" s="64">
        <f>+B207+1</f>
        <v>120</v>
      </c>
      <c r="C208" s="65"/>
      <c r="D208" s="83" t="str">
        <f>"  Less transmission plant included in OATT Ancillary Services (Worksheet A-1, ln "&amp;'OKT WS A-1 - Plant'!A44&amp;", Col. (E))  (Note R)"</f>
        <v xml:space="preserve">  Less transmission plant included in OATT Ancillary Services (Worksheet A-1, ln 28, Col. (E))  (Note R)</v>
      </c>
      <c r="E208" s="83"/>
      <c r="F208" s="83"/>
      <c r="G208" s="313"/>
      <c r="H208" s="350"/>
      <c r="I208" s="350"/>
      <c r="J208" s="313"/>
      <c r="K208" s="350"/>
      <c r="L208" s="378">
        <f>+'OKT WS A-1 - Plant'!F44</f>
        <v>0</v>
      </c>
      <c r="M208" s="276"/>
      <c r="N208" s="276"/>
      <c r="P208" s="276"/>
    </row>
    <row r="209" spans="2:16">
      <c r="B209" s="64">
        <f>+B208+1</f>
        <v>121</v>
      </c>
      <c r="C209" s="65"/>
      <c r="D209" s="60" t="s">
        <v>85</v>
      </c>
      <c r="E209" s="379" t="str">
        <f>"(ln "&amp;B206&amp;" - ln "&amp;B207&amp;" - ln "&amp;B208&amp;")"</f>
        <v>(ln 118 - ln 119 - ln 120)</v>
      </c>
      <c r="F209" s="83"/>
      <c r="H209" s="350"/>
      <c r="I209" s="350"/>
      <c r="J209" s="313"/>
      <c r="K209" s="350"/>
      <c r="L209" s="286">
        <f>L206-L207-L208</f>
        <v>1380374037.0015383</v>
      </c>
      <c r="M209" s="276"/>
      <c r="N209" s="276"/>
      <c r="P209" s="276"/>
    </row>
    <row r="210" spans="2:16">
      <c r="B210" s="64"/>
      <c r="C210" s="65"/>
      <c r="E210" s="83"/>
      <c r="F210" s="83"/>
      <c r="G210" s="313"/>
      <c r="H210" s="350"/>
      <c r="I210" s="350"/>
      <c r="J210" s="313"/>
      <c r="K210" s="350"/>
      <c r="L210" s="82"/>
      <c r="M210" s="276"/>
      <c r="N210" s="276"/>
      <c r="P210" s="276"/>
    </row>
    <row r="211" spans="2:16" ht="15.75">
      <c r="B211" s="64">
        <f>+B209+1</f>
        <v>122</v>
      </c>
      <c r="C211" s="65"/>
      <c r="D211" s="60" t="s">
        <v>86</v>
      </c>
      <c r="E211" s="373" t="str">
        <f>"(ln "&amp;B209&amp;" / ln "&amp;B206&amp;")"</f>
        <v>(ln 121 / ln 118)</v>
      </c>
      <c r="F211" s="380"/>
      <c r="H211" s="381"/>
      <c r="I211" s="382"/>
      <c r="J211" s="382"/>
      <c r="K211" s="383" t="s">
        <v>279</v>
      </c>
      <c r="L211" s="384">
        <f>IF(L206&gt;0,L209/L206,0)</f>
        <v>0.99999930414784033</v>
      </c>
      <c r="M211" s="276"/>
      <c r="N211" s="276"/>
      <c r="P211" s="276"/>
    </row>
    <row r="212" spans="2:16" ht="15.75">
      <c r="B212" s="64"/>
      <c r="C212" s="65"/>
      <c r="D212" s="374"/>
      <c r="E212" s="60"/>
      <c r="F212"/>
      <c r="G212"/>
      <c r="H212" s="60"/>
      <c r="I212" s="65"/>
      <c r="J212" s="60"/>
      <c r="K212" s="60"/>
      <c r="L212" s="60"/>
      <c r="M212" s="276"/>
      <c r="N212" s="276"/>
    </row>
    <row r="213" spans="2:16" ht="30">
      <c r="B213" s="64">
        <f>B211+1</f>
        <v>123</v>
      </c>
      <c r="C213" s="65"/>
      <c r="D213" s="57" t="s">
        <v>216</v>
      </c>
      <c r="E213" s="287" t="s">
        <v>56</v>
      </c>
      <c r="F213" s="287" t="s">
        <v>318</v>
      </c>
      <c r="G213" s="385" t="s">
        <v>350</v>
      </c>
      <c r="H213" s="100" t="s">
        <v>255</v>
      </c>
      <c r="I213" s="287"/>
      <c r="J213" s="61"/>
      <c r="K213" s="61"/>
      <c r="L213" s="61"/>
      <c r="M213" s="276"/>
      <c r="N213" s="276"/>
    </row>
    <row r="214" spans="2:16">
      <c r="B214" s="64">
        <f t="shared" ref="B214:B219" si="11">+B213+1</f>
        <v>124</v>
      </c>
      <c r="C214" s="65"/>
      <c r="D214" s="57" t="s">
        <v>263</v>
      </c>
      <c r="E214" s="61" t="s">
        <v>59</v>
      </c>
      <c r="F214" s="345">
        <v>0</v>
      </c>
      <c r="G214" s="345">
        <v>0</v>
      </c>
      <c r="H214" s="302">
        <f>+F214+G214</f>
        <v>0</v>
      </c>
      <c r="I214" s="287" t="s">
        <v>264</v>
      </c>
      <c r="J214" s="288">
        <v>0</v>
      </c>
      <c r="K214" s="386"/>
      <c r="L214" s="296">
        <f>(F214+G214)*J214</f>
        <v>0</v>
      </c>
      <c r="M214" s="276"/>
      <c r="N214" s="276"/>
    </row>
    <row r="215" spans="2:16">
      <c r="B215" s="64">
        <f>+B214+1</f>
        <v>125</v>
      </c>
      <c r="C215" s="65"/>
      <c r="D215" s="314" t="s">
        <v>265</v>
      </c>
      <c r="E215" s="61" t="s">
        <v>144</v>
      </c>
      <c r="F215" s="345">
        <v>0</v>
      </c>
      <c r="G215" s="345">
        <v>3699679.4442858296</v>
      </c>
      <c r="H215" s="302">
        <f>+F215+G215</f>
        <v>3699679.4442858296</v>
      </c>
      <c r="I215" s="65" t="s">
        <v>257</v>
      </c>
      <c r="J215" s="288">
        <f>+L211</f>
        <v>0.99999930414784033</v>
      </c>
      <c r="L215" s="286">
        <f>(F215+G215)*J215</f>
        <v>3699676.869855898</v>
      </c>
      <c r="M215" s="276"/>
      <c r="N215" s="276"/>
    </row>
    <row r="216" spans="2:16">
      <c r="B216" s="64">
        <f>+B215+1</f>
        <v>126</v>
      </c>
      <c r="C216" s="65"/>
      <c r="D216" s="314" t="s">
        <v>142</v>
      </c>
      <c r="E216" s="61" t="s">
        <v>143</v>
      </c>
      <c r="F216" s="345">
        <v>0</v>
      </c>
      <c r="G216" s="345">
        <v>0</v>
      </c>
      <c r="H216" s="302">
        <f>+F216+G216</f>
        <v>0</v>
      </c>
      <c r="I216" s="287" t="s">
        <v>264</v>
      </c>
      <c r="J216" s="288">
        <v>0</v>
      </c>
      <c r="K216" s="386"/>
      <c r="L216" s="296">
        <f>(F216+G216)*J216</f>
        <v>0</v>
      </c>
      <c r="M216" s="276"/>
      <c r="N216" s="276"/>
    </row>
    <row r="217" spans="2:16">
      <c r="B217" s="64">
        <f t="shared" si="11"/>
        <v>127</v>
      </c>
      <c r="C217" s="65"/>
      <c r="D217" s="314" t="s">
        <v>267</v>
      </c>
      <c r="E217" s="61" t="s">
        <v>57</v>
      </c>
      <c r="F217" s="345">
        <v>0</v>
      </c>
      <c r="G217" s="345">
        <v>0</v>
      </c>
      <c r="H217" s="302">
        <f>+F217+G217</f>
        <v>0</v>
      </c>
      <c r="I217" s="287" t="s">
        <v>264</v>
      </c>
      <c r="J217" s="288">
        <v>0</v>
      </c>
      <c r="K217" s="386"/>
      <c r="L217" s="296">
        <f>(F217+G217)*J217</f>
        <v>0</v>
      </c>
      <c r="M217" s="276"/>
      <c r="N217" s="276"/>
    </row>
    <row r="218" spans="2:16" ht="15.75" thickBot="1">
      <c r="B218" s="64">
        <f t="shared" si="11"/>
        <v>128</v>
      </c>
      <c r="C218" s="65"/>
      <c r="D218" s="314" t="s">
        <v>333</v>
      </c>
      <c r="E218" s="387" t="s">
        <v>58</v>
      </c>
      <c r="F218" s="345">
        <v>0</v>
      </c>
      <c r="G218" s="345">
        <v>0</v>
      </c>
      <c r="H218" s="378">
        <f>+F218+G218</f>
        <v>0</v>
      </c>
      <c r="I218" s="287" t="s">
        <v>264</v>
      </c>
      <c r="J218" s="288">
        <v>0</v>
      </c>
      <c r="K218" s="386"/>
      <c r="L218" s="322">
        <f>(F218+G218)*J218</f>
        <v>0</v>
      </c>
      <c r="M218" s="276"/>
      <c r="N218" s="276"/>
    </row>
    <row r="219" spans="2:16">
      <c r="B219" s="64">
        <f t="shared" si="11"/>
        <v>129</v>
      </c>
      <c r="C219" s="65"/>
      <c r="D219" s="314" t="s">
        <v>255</v>
      </c>
      <c r="E219" s="314" t="str">
        <f>"(sum lns "&amp;B214&amp;" to "&amp;B218&amp;")"</f>
        <v>(sum lns 124 to 128)</v>
      </c>
      <c r="F219" s="348">
        <f>SUM(F214:F218)</f>
        <v>0</v>
      </c>
      <c r="G219" s="348">
        <f>SUM(G214:G218)</f>
        <v>3699679.4442858296</v>
      </c>
      <c r="H219" s="61">
        <f>SUM(H214:H218)</f>
        <v>3699679.4442858296</v>
      </c>
      <c r="I219" s="287"/>
      <c r="J219" s="61"/>
      <c r="K219" s="61"/>
      <c r="L219" s="296">
        <f>SUM(L214:L218)</f>
        <v>3699676.869855898</v>
      </c>
      <c r="M219" s="276"/>
      <c r="N219" s="276"/>
    </row>
    <row r="220" spans="2:16">
      <c r="B220" s="64"/>
      <c r="C220" s="65"/>
      <c r="D220" s="314" t="s">
        <v>251</v>
      </c>
      <c r="E220" s="61" t="s">
        <v>251</v>
      </c>
      <c r="F220" s="61"/>
      <c r="H220" s="61"/>
      <c r="I220" s="100"/>
      <c r="M220" s="276"/>
      <c r="N220" s="276"/>
    </row>
    <row r="221" spans="2:16" ht="15.75">
      <c r="B221" s="64">
        <f>B219+1</f>
        <v>130</v>
      </c>
      <c r="C221" s="65"/>
      <c r="D221" s="314" t="s">
        <v>217</v>
      </c>
      <c r="E221" s="61"/>
      <c r="F221" s="61"/>
      <c r="G221" s="61"/>
      <c r="H221" s="61"/>
      <c r="I221" s="100"/>
      <c r="K221" s="327" t="s">
        <v>218</v>
      </c>
      <c r="L221" s="324">
        <f>IF(H219&lt;&gt;0,L219/(F219+G219),0)</f>
        <v>0.99999930414784033</v>
      </c>
      <c r="M221" s="276"/>
      <c r="N221" s="276"/>
    </row>
    <row r="222" spans="2:16">
      <c r="B222" s="64"/>
      <c r="C222" s="65"/>
      <c r="D222" s="314"/>
      <c r="E222" s="61"/>
      <c r="F222" s="61"/>
      <c r="G222" s="61"/>
      <c r="H222" s="61"/>
      <c r="I222" s="287"/>
      <c r="J222" s="61"/>
      <c r="K222" s="61"/>
      <c r="L222" s="61"/>
      <c r="M222" s="276"/>
      <c r="N222" s="276"/>
    </row>
    <row r="223" spans="2:16" ht="17.25">
      <c r="B223" s="64"/>
      <c r="C223" s="65"/>
      <c r="D223" s="388" t="s">
        <v>924</v>
      </c>
      <c r="E223" s="373"/>
      <c r="F223" s="61"/>
      <c r="H223" s="61"/>
      <c r="I223" s="61"/>
      <c r="J223" s="61"/>
      <c r="K223" s="311"/>
      <c r="L223" s="389"/>
      <c r="M223" s="276"/>
      <c r="N223" s="276"/>
    </row>
    <row r="224" spans="2:16" ht="15.75" thickBot="1">
      <c r="B224" s="64">
        <f>+B221+1</f>
        <v>131</v>
      </c>
      <c r="C224" s="65"/>
      <c r="D224" s="314" t="s">
        <v>925</v>
      </c>
      <c r="E224" s="61"/>
      <c r="F224" s="61"/>
      <c r="G224" s="61"/>
      <c r="H224" s="61"/>
      <c r="I224" s="61"/>
      <c r="J224" s="61"/>
      <c r="K224" s="61"/>
      <c r="L224" s="390" t="s">
        <v>280</v>
      </c>
      <c r="M224" s="276"/>
      <c r="N224" s="276"/>
    </row>
    <row r="225" spans="2:21">
      <c r="B225" s="64">
        <f t="shared" ref="B225:B232" si="12">+B224+1</f>
        <v>132</v>
      </c>
      <c r="C225" s="65"/>
      <c r="D225" s="61" t="s">
        <v>353</v>
      </c>
      <c r="E225" s="53" t="str">
        <f>"Long Term Interest (Worksheet M, ln. "&amp;'OKT WS M - Cost of Capital'!A58&amp;", col. "&amp;'OKT WS M - Cost of Capital'!E48&amp;")"</f>
        <v>Long Term Interest (Worksheet M, ln. 37, col. (d))</v>
      </c>
      <c r="F225" s="61"/>
      <c r="G225" s="61"/>
      <c r="H225" s="61"/>
      <c r="I225" s="61"/>
      <c r="J225" s="61"/>
      <c r="K225" s="61"/>
      <c r="L225" s="296">
        <f>+'OKT WS M - Cost of Capital'!E58</f>
        <v>20710878.77</v>
      </c>
      <c r="M225" s="276"/>
      <c r="N225" s="276"/>
    </row>
    <row r="226" spans="2:21">
      <c r="B226" s="64">
        <f t="shared" si="12"/>
        <v>133</v>
      </c>
      <c r="C226" s="65"/>
      <c r="D226" s="61" t="s">
        <v>354</v>
      </c>
      <c r="E226" s="53" t="str">
        <f>"Preferred Stock Dividends (Worksheet M, ln. "&amp;'OKT WS M - Cost of Capital'!A87&amp;", col. "&amp;'OKT WS M - Cost of Capital'!E48&amp;")"</f>
        <v>Preferred Stock Dividends (Worksheet M, ln. 57, col. (d))</v>
      </c>
      <c r="F226" s="61"/>
      <c r="G226" s="61"/>
      <c r="H226" s="61"/>
      <c r="I226" s="61"/>
      <c r="J226" s="61"/>
      <c r="K226" s="61"/>
      <c r="L226" s="296">
        <f>+'OKT WS M - Cost of Capital'!E87</f>
        <v>0</v>
      </c>
      <c r="M226" s="276"/>
      <c r="N226" s="276"/>
    </row>
    <row r="227" spans="2:21" ht="15.75" thickBot="1">
      <c r="B227" s="64">
        <f t="shared" si="12"/>
        <v>134</v>
      </c>
      <c r="C227" s="65"/>
      <c r="D227" s="391" t="s">
        <v>360</v>
      </c>
      <c r="E227" s="61"/>
      <c r="F227" s="61"/>
      <c r="G227" s="61"/>
      <c r="H227" s="276"/>
      <c r="I227" s="276"/>
      <c r="J227" s="276"/>
      <c r="K227" s="61"/>
      <c r="L227" s="392" t="s">
        <v>177</v>
      </c>
      <c r="M227" s="276"/>
      <c r="N227" s="276"/>
    </row>
    <row r="228" spans="2:21">
      <c r="B228" s="64">
        <f t="shared" si="12"/>
        <v>135</v>
      </c>
      <c r="C228" s="65"/>
      <c r="D228" s="61" t="s">
        <v>361</v>
      </c>
      <c r="E228" s="53" t="str">
        <f>"(Worksheet M, ln. "&amp;'OKT WS M - Cost of Capital'!A24&amp;", col. "&amp;'OKT WS M - Cost of Capital'!C9&amp;")"</f>
        <v>(Worksheet M, ln. 14, col. (b))</v>
      </c>
      <c r="F228" s="61"/>
      <c r="G228" s="60"/>
      <c r="H228" s="276"/>
      <c r="I228" s="276"/>
      <c r="J228" s="276"/>
      <c r="K228" s="61"/>
      <c r="L228" s="302">
        <f>+'OKT WS M - Cost of Capital'!C24</f>
        <v>638093592.20461535</v>
      </c>
      <c r="M228" s="276"/>
      <c r="N228" s="276"/>
    </row>
    <row r="229" spans="2:21">
      <c r="B229" s="64">
        <f t="shared" si="12"/>
        <v>136</v>
      </c>
      <c r="C229" s="65"/>
      <c r="D229" s="61" t="str">
        <f>"Less Preferred Stock (ln "&amp;B236&amp;")"</f>
        <v>Less Preferred Stock (ln 142)</v>
      </c>
      <c r="E229" s="53" t="str">
        <f>"(Worksheet M, ln. "&amp;'OKT WS M - Cost of Capital'!A24&amp;", col. "&amp;'OKT WS M - Cost of Capital'!D9&amp;")"</f>
        <v>(Worksheet M, ln. 14, col. (c))</v>
      </c>
      <c r="F229" s="61"/>
      <c r="G229" s="61"/>
      <c r="H229" s="276"/>
      <c r="I229" s="276"/>
      <c r="J229" s="276"/>
      <c r="K229" s="61"/>
      <c r="L229" s="302">
        <f>+'OKT WS M - Cost of Capital'!D24</f>
        <v>0</v>
      </c>
      <c r="M229" s="276"/>
      <c r="N229" s="276"/>
    </row>
    <row r="230" spans="2:21">
      <c r="B230" s="64">
        <f t="shared" si="12"/>
        <v>137</v>
      </c>
      <c r="C230" s="65"/>
      <c r="D230" s="61" t="s">
        <v>52</v>
      </c>
      <c r="E230" s="53" t="str">
        <f>"(Worksheet M, ln. "&amp;'OKT WS M - Cost of Capital'!A24&amp;", col. "&amp;'OKT WS M - Cost of Capital'!E9&amp;")"</f>
        <v>(Worksheet M, ln. 14, col. (d))</v>
      </c>
      <c r="F230" s="61"/>
      <c r="G230" s="61"/>
      <c r="H230" s="276"/>
      <c r="I230" s="276"/>
      <c r="J230" s="276"/>
      <c r="K230" s="61"/>
      <c r="L230" s="302">
        <f>+'OKT WS M - Cost of Capital'!E24</f>
        <v>0</v>
      </c>
      <c r="M230" s="276"/>
      <c r="N230" s="276"/>
    </row>
    <row r="231" spans="2:21" ht="15.75" thickBot="1">
      <c r="B231" s="64">
        <f t="shared" si="12"/>
        <v>138</v>
      </c>
      <c r="C231" s="65"/>
      <c r="D231" s="61" t="s">
        <v>362</v>
      </c>
      <c r="E231" s="53" t="str">
        <f>"(Worksheet M, ln. "&amp;'OKT WS M - Cost of Capital'!A24&amp;", col. "&amp;'OKT WS M - Cost of Capital'!F9&amp;")"</f>
        <v>(Worksheet M, ln. 14, col. (e))</v>
      </c>
      <c r="F231" s="61"/>
      <c r="G231" s="61"/>
      <c r="H231" s="276"/>
      <c r="I231" s="276"/>
      <c r="J231" s="276"/>
      <c r="K231" s="61"/>
      <c r="L231" s="378">
        <f>+'OKT WS M - Cost of Capital'!F24</f>
        <v>0</v>
      </c>
      <c r="M231" s="276"/>
      <c r="N231" s="276"/>
    </row>
    <row r="232" spans="2:21">
      <c r="B232" s="64">
        <f t="shared" si="12"/>
        <v>139</v>
      </c>
      <c r="C232" s="65"/>
      <c r="D232" s="53" t="s">
        <v>363</v>
      </c>
      <c r="E232" s="61" t="str">
        <f>"(ln "&amp;B228&amp;" - ln "&amp;B229&amp;" - ln "&amp;B230&amp;" - ln "&amp;B231&amp;")"</f>
        <v>(ln 135 - ln 136 - ln 137 - ln 138)</v>
      </c>
      <c r="F232" s="282"/>
      <c r="H232" s="60"/>
      <c r="I232" s="60"/>
      <c r="J232" s="60"/>
      <c r="K232" s="60"/>
      <c r="L232" s="286">
        <f>+L228-L229-L230-L231</f>
        <v>638093592.20461535</v>
      </c>
      <c r="M232" s="276"/>
      <c r="N232" s="276"/>
    </row>
    <row r="233" spans="2:21" ht="52.5" customHeight="1">
      <c r="B233" s="64"/>
      <c r="C233" s="65"/>
      <c r="D233" s="314"/>
      <c r="E233" s="61"/>
      <c r="F233" s="61"/>
      <c r="G233" s="393" t="s">
        <v>417</v>
      </c>
      <c r="H233" s="394"/>
      <c r="I233" s="61"/>
      <c r="J233" s="287" t="s">
        <v>281</v>
      </c>
      <c r="K233" s="61"/>
      <c r="L233" s="61"/>
      <c r="M233" s="276"/>
      <c r="N233" s="276"/>
    </row>
    <row r="234" spans="2:21" ht="15.75" thickBot="1">
      <c r="B234" s="64">
        <f>+B232+1</f>
        <v>140</v>
      </c>
      <c r="C234" s="65"/>
      <c r="D234" s="314"/>
      <c r="E234" s="279" t="s">
        <v>416</v>
      </c>
      <c r="G234" s="395"/>
      <c r="H234" s="394"/>
      <c r="I234" s="61"/>
      <c r="J234" s="279" t="s">
        <v>408</v>
      </c>
      <c r="K234" s="61"/>
      <c r="L234" s="279" t="s">
        <v>283</v>
      </c>
      <c r="M234" s="276"/>
      <c r="N234" s="276"/>
      <c r="O234" s="57"/>
      <c r="P234" s="57"/>
      <c r="Q234" s="57"/>
      <c r="R234" s="57"/>
      <c r="S234" s="57"/>
      <c r="T234" s="57"/>
      <c r="U234" s="57"/>
    </row>
    <row r="235" spans="2:21">
      <c r="B235" s="64">
        <f>+B234+1</f>
        <v>141</v>
      </c>
      <c r="C235" s="65"/>
      <c r="D235" s="61" t="str">
        <f>"Avg Long Term Debt (Worksheet M, ln. "&amp;'OKT WS M - Cost of Capital'!A43&amp;", col. (g))"</f>
        <v>Avg Long Term Debt (Worksheet M, ln. 28, col. (g))</v>
      </c>
      <c r="E235" s="296">
        <f>+'OKT WS M - Cost of Capital'!H43</f>
        <v>502926923.07692307</v>
      </c>
      <c r="G235" s="299">
        <f>IF($E$238&gt;0,E235/$E$238,0)</f>
        <v>0.44076939576571023</v>
      </c>
      <c r="H235" s="394"/>
      <c r="I235" s="396"/>
      <c r="J235" s="301">
        <f>+'OKT WS M - Cost of Capital'!E60</f>
        <v>4.1180692103914777E-2</v>
      </c>
      <c r="L235" s="397">
        <f>J235*G235</f>
        <v>1.815118877585627E-2</v>
      </c>
      <c r="M235" s="276"/>
      <c r="N235" s="276"/>
      <c r="O235" s="57"/>
      <c r="P235" s="57"/>
      <c r="Q235" s="57"/>
      <c r="R235" s="57"/>
      <c r="S235" s="57"/>
      <c r="T235" s="57"/>
      <c r="U235" s="57"/>
    </row>
    <row r="236" spans="2:21">
      <c r="B236" s="64">
        <f>+B235+1</f>
        <v>142</v>
      </c>
      <c r="C236" s="65"/>
      <c r="D236" s="61" t="str">
        <f>"Avg Preferred Stock (Worksheet M, ln. "&amp;'OKT WS M - Cost of Capital'!A24&amp;", col. "&amp;'OKT WS M - Cost of Capital'!D9&amp;")"</f>
        <v>Avg Preferred Stock (Worksheet M, ln. 14, col. (c))</v>
      </c>
      <c r="E236" s="296">
        <f>+'OKT WS M - Cost of Capital'!D24</f>
        <v>0</v>
      </c>
      <c r="G236" s="299">
        <f>IF($E$238&gt;0,E236/$E$238,0)</f>
        <v>0</v>
      </c>
      <c r="H236" s="394"/>
      <c r="I236" s="396"/>
      <c r="J236" s="301">
        <f>IF(E236&gt;0,L226/E236,0)</f>
        <v>0</v>
      </c>
      <c r="L236" s="397">
        <f>J236*G236</f>
        <v>0</v>
      </c>
      <c r="M236" s="276"/>
      <c r="N236" s="276"/>
      <c r="O236" s="57"/>
    </row>
    <row r="237" spans="2:21" ht="15.75" thickBot="1">
      <c r="B237" s="64">
        <f>+B236+1</f>
        <v>143</v>
      </c>
      <c r="C237" s="65"/>
      <c r="D237" s="314" t="str">
        <f>"Avg Common Stock (ln "&amp;B232&amp;")"</f>
        <v>Avg Common Stock (ln 139)</v>
      </c>
      <c r="E237" s="322">
        <f>+L232</f>
        <v>638093592.20461535</v>
      </c>
      <c r="G237" s="299">
        <f>IF($E$238&gt;0,E237/$E$238,0)</f>
        <v>0.55923060423428972</v>
      </c>
      <c r="H237" s="394"/>
      <c r="I237" s="396"/>
      <c r="J237" s="398">
        <v>0.105</v>
      </c>
      <c r="L237" s="399">
        <f>J237*G237</f>
        <v>5.8719213444600418E-2</v>
      </c>
      <c r="M237" s="276"/>
      <c r="N237" s="276"/>
      <c r="O237" s="57"/>
    </row>
    <row r="238" spans="2:21" ht="15.75">
      <c r="B238" s="64">
        <f>+B237+1</f>
        <v>144</v>
      </c>
      <c r="C238" s="65"/>
      <c r="D238" s="314" t="str">
        <f>"  Total  (sum lns "&amp;B235&amp;" to "&amp;B237&amp;")"</f>
        <v xml:space="preserve">  Total  (sum lns 141 to 143)</v>
      </c>
      <c r="E238" s="296">
        <f>E237+E236+E235</f>
        <v>1141020515.2815385</v>
      </c>
      <c r="G238" s="61" t="s">
        <v>251</v>
      </c>
      <c r="H238" s="394"/>
      <c r="I238" s="61"/>
      <c r="J238" s="276"/>
      <c r="K238" s="400" t="s">
        <v>205</v>
      </c>
      <c r="L238" s="401">
        <f>SUM(L235:L237)</f>
        <v>7.6870402220456685E-2</v>
      </c>
      <c r="M238" s="276"/>
      <c r="N238" s="276"/>
      <c r="P238" s="402"/>
    </row>
    <row r="239" spans="2:21">
      <c r="B239" s="403"/>
      <c r="C239" s="276"/>
      <c r="D239" s="276"/>
      <c r="E239" s="276"/>
      <c r="F239" s="276"/>
      <c r="G239" s="276"/>
      <c r="H239" s="276"/>
      <c r="I239" s="276"/>
      <c r="J239" s="404"/>
      <c r="K239" s="404"/>
      <c r="L239" s="404"/>
      <c r="M239" s="276"/>
      <c r="N239" s="276"/>
      <c r="O239" s="60"/>
      <c r="P239" s="60"/>
      <c r="Q239" s="60"/>
      <c r="R239" s="60"/>
      <c r="S239" s="60"/>
      <c r="T239" s="60"/>
      <c r="U239" s="60"/>
    </row>
    <row r="240" spans="2:21" ht="17.25">
      <c r="B240" s="64"/>
      <c r="C240" s="65"/>
      <c r="D240" s="388" t="s">
        <v>926</v>
      </c>
      <c r="E240" s="373"/>
      <c r="F240" s="61"/>
      <c r="H240" s="61"/>
      <c r="I240" s="61"/>
      <c r="J240" s="61"/>
      <c r="K240" s="311"/>
      <c r="L240" s="389"/>
      <c r="M240" s="276"/>
      <c r="N240" s="276"/>
    </row>
    <row r="241" spans="2:21" ht="15.75" thickBot="1">
      <c r="B241" s="64">
        <f>+B238+1</f>
        <v>145</v>
      </c>
      <c r="C241" s="65"/>
      <c r="D241" s="314" t="s">
        <v>925</v>
      </c>
      <c r="E241" s="61"/>
      <c r="F241" s="61"/>
      <c r="G241" s="61"/>
      <c r="H241" s="61"/>
      <c r="I241" s="61"/>
      <c r="J241" s="61"/>
      <c r="K241" s="61"/>
      <c r="L241" s="390" t="s">
        <v>280</v>
      </c>
      <c r="M241" s="276"/>
      <c r="N241" s="276"/>
    </row>
    <row r="242" spans="2:21">
      <c r="B242" s="64">
        <f t="shared" ref="B242:B249" si="13">+B241+1</f>
        <v>146</v>
      </c>
      <c r="C242" s="65"/>
      <c r="D242" s="61" t="s">
        <v>353</v>
      </c>
      <c r="E242" s="53" t="s">
        <v>931</v>
      </c>
      <c r="F242" s="61"/>
      <c r="G242" s="61"/>
      <c r="H242" s="61"/>
      <c r="I242" s="61"/>
      <c r="J242" s="61"/>
      <c r="K242" s="61"/>
      <c r="L242" s="405">
        <v>78008543.810000002</v>
      </c>
      <c r="M242" s="276"/>
      <c r="N242" s="276"/>
    </row>
    <row r="243" spans="2:21">
      <c r="B243" s="64">
        <f t="shared" si="13"/>
        <v>147</v>
      </c>
      <c r="C243" s="65"/>
      <c r="D243" s="61" t="s">
        <v>354</v>
      </c>
      <c r="E243" s="53" t="s">
        <v>932</v>
      </c>
      <c r="F243" s="61"/>
      <c r="G243" s="61"/>
      <c r="H243" s="61"/>
      <c r="I243" s="61"/>
      <c r="J243" s="61"/>
      <c r="K243" s="61"/>
      <c r="L243" s="406">
        <v>0</v>
      </c>
      <c r="M243" s="276"/>
      <c r="N243" s="276"/>
    </row>
    <row r="244" spans="2:21" ht="15.75" thickBot="1">
      <c r="B244" s="64">
        <f t="shared" si="13"/>
        <v>148</v>
      </c>
      <c r="C244" s="65"/>
      <c r="D244" s="391" t="s">
        <v>360</v>
      </c>
      <c r="E244" s="61"/>
      <c r="F244" s="61"/>
      <c r="G244" s="61"/>
      <c r="H244" s="276"/>
      <c r="I244" s="276"/>
      <c r="J244" s="276"/>
      <c r="K244" s="61"/>
      <c r="L244" s="279" t="s">
        <v>177</v>
      </c>
      <c r="M244" s="276"/>
      <c r="N244" s="276"/>
    </row>
    <row r="245" spans="2:21">
      <c r="B245" s="64">
        <f t="shared" si="13"/>
        <v>149</v>
      </c>
      <c r="C245" s="65"/>
      <c r="D245" s="61" t="s">
        <v>361</v>
      </c>
      <c r="E245" s="53" t="s">
        <v>927</v>
      </c>
      <c r="F245" s="61"/>
      <c r="G245" s="60"/>
      <c r="H245" s="276"/>
      <c r="I245" s="276"/>
      <c r="J245" s="276"/>
      <c r="K245" s="61"/>
      <c r="L245" s="405">
        <v>2356247396.6689234</v>
      </c>
      <c r="M245" s="276"/>
      <c r="N245" s="276"/>
    </row>
    <row r="246" spans="2:21">
      <c r="B246" s="64">
        <f t="shared" si="13"/>
        <v>150</v>
      </c>
      <c r="C246" s="65"/>
      <c r="D246" s="61" t="str">
        <f>"Less Preferred Stock (ln "&amp;B253&amp;")"</f>
        <v>Less Preferred Stock (ln 156)</v>
      </c>
      <c r="E246" s="53" t="s">
        <v>928</v>
      </c>
      <c r="F246" s="61"/>
      <c r="G246" s="61"/>
      <c r="H246" s="276"/>
      <c r="I246" s="276"/>
      <c r="J246" s="276"/>
      <c r="K246" s="61"/>
      <c r="L246" s="406">
        <v>0</v>
      </c>
      <c r="M246" s="276"/>
      <c r="N246" s="276"/>
    </row>
    <row r="247" spans="2:21">
      <c r="B247" s="64">
        <f t="shared" si="13"/>
        <v>151</v>
      </c>
      <c r="C247" s="65"/>
      <c r="D247" s="61" t="s">
        <v>52</v>
      </c>
      <c r="E247" s="53" t="s">
        <v>929</v>
      </c>
      <c r="F247" s="61"/>
      <c r="G247" s="61"/>
      <c r="H247" s="276"/>
      <c r="I247" s="276"/>
      <c r="J247" s="276"/>
      <c r="K247" s="61"/>
      <c r="L247" s="406">
        <v>0</v>
      </c>
      <c r="M247" s="276"/>
      <c r="N247" s="276"/>
    </row>
    <row r="248" spans="2:21" ht="15.75" thickBot="1">
      <c r="B248" s="64">
        <f t="shared" si="13"/>
        <v>152</v>
      </c>
      <c r="C248" s="65"/>
      <c r="D248" s="61" t="s">
        <v>362</v>
      </c>
      <c r="E248" s="53" t="s">
        <v>930</v>
      </c>
      <c r="F248" s="61"/>
      <c r="G248" s="61"/>
      <c r="H248" s="276"/>
      <c r="I248" s="276"/>
      <c r="J248" s="276"/>
      <c r="K248" s="61"/>
      <c r="L248" s="405">
        <v>97990.292307692318</v>
      </c>
      <c r="M248" s="276"/>
      <c r="N248" s="276"/>
    </row>
    <row r="249" spans="2:21">
      <c r="B249" s="64">
        <f t="shared" si="13"/>
        <v>153</v>
      </c>
      <c r="C249" s="65"/>
      <c r="D249" s="53" t="s">
        <v>363</v>
      </c>
      <c r="E249" s="61" t="str">
        <f>"(ln "&amp;B245&amp;" - ln "&amp;B246&amp;" - ln "&amp;B247&amp;" - ln "&amp;B248&amp;")"</f>
        <v>(ln 149 - ln 150 - ln 151 - ln 152)</v>
      </c>
      <c r="F249" s="282"/>
      <c r="H249" s="60"/>
      <c r="I249" s="60"/>
      <c r="J249" s="60"/>
      <c r="K249" s="60"/>
      <c r="L249" s="407">
        <f>+L245-L246-L247-L248</f>
        <v>2356149406.3766155</v>
      </c>
      <c r="M249" s="276"/>
      <c r="N249" s="276"/>
    </row>
    <row r="250" spans="2:21" ht="52.5" customHeight="1">
      <c r="B250" s="64"/>
      <c r="C250" s="65"/>
      <c r="D250" s="314"/>
      <c r="E250" s="61"/>
      <c r="F250" s="61"/>
      <c r="G250" s="393" t="s">
        <v>417</v>
      </c>
      <c r="H250" s="394"/>
      <c r="I250" s="61"/>
      <c r="J250" s="287" t="s">
        <v>281</v>
      </c>
      <c r="K250" s="61"/>
      <c r="L250" s="61"/>
      <c r="M250" s="276"/>
      <c r="N250" s="276"/>
    </row>
    <row r="251" spans="2:21" ht="15.75" thickBot="1">
      <c r="B251" s="64">
        <f>+B249+1</f>
        <v>154</v>
      </c>
      <c r="C251" s="65"/>
      <c r="D251" s="314"/>
      <c r="E251" s="279" t="s">
        <v>416</v>
      </c>
      <c r="G251" s="395"/>
      <c r="H251" s="394"/>
      <c r="I251" s="61"/>
      <c r="J251" s="279" t="s">
        <v>408</v>
      </c>
      <c r="K251" s="61"/>
      <c r="L251" s="279" t="s">
        <v>283</v>
      </c>
      <c r="M251" s="276"/>
      <c r="N251" s="276"/>
      <c r="O251" s="57"/>
      <c r="P251" s="57"/>
      <c r="Q251" s="57"/>
      <c r="R251" s="57"/>
      <c r="S251" s="57"/>
      <c r="T251" s="57"/>
      <c r="U251" s="57"/>
    </row>
    <row r="252" spans="2:21">
      <c r="B252" s="64">
        <f>+B251+1</f>
        <v>155</v>
      </c>
      <c r="C252" s="65"/>
      <c r="D252" s="61" t="s">
        <v>949</v>
      </c>
      <c r="E252" s="405">
        <v>2197020867.4984617</v>
      </c>
      <c r="G252" s="299">
        <f>IF($E$255&gt;0,E252/$E$255,0)</f>
        <v>0.48252552295362283</v>
      </c>
      <c r="H252" s="394"/>
      <c r="I252" s="396"/>
      <c r="J252" s="398">
        <v>3.5506510185686534E-2</v>
      </c>
      <c r="L252" s="397">
        <f>J252*G252</f>
        <v>1.7132797395606532E-2</v>
      </c>
      <c r="M252" s="276"/>
      <c r="N252" s="276"/>
      <c r="O252" s="57"/>
      <c r="P252" s="57"/>
      <c r="Q252" s="57"/>
      <c r="R252" s="57"/>
      <c r="S252" s="57"/>
      <c r="T252" s="57"/>
      <c r="U252" s="57"/>
    </row>
    <row r="253" spans="2:21">
      <c r="B253" s="64">
        <f>+B252+1</f>
        <v>156</v>
      </c>
      <c r="C253" s="65"/>
      <c r="D253" s="61" t="s">
        <v>950</v>
      </c>
      <c r="E253" s="406">
        <v>0</v>
      </c>
      <c r="G253" s="299">
        <f>IF($E$255&gt;0,E253/$E$255,0)</f>
        <v>0</v>
      </c>
      <c r="H253" s="394"/>
      <c r="I253" s="396"/>
      <c r="J253" s="398">
        <v>0</v>
      </c>
      <c r="L253" s="397">
        <f>J253*G253</f>
        <v>0</v>
      </c>
      <c r="M253" s="276"/>
      <c r="N253" s="276"/>
      <c r="O253" s="57"/>
    </row>
    <row r="254" spans="2:21" ht="15.75" thickBot="1">
      <c r="B254" s="64">
        <f>+B253+1</f>
        <v>157</v>
      </c>
      <c r="C254" s="65"/>
      <c r="D254" s="314" t="str">
        <f>"Avg Common Stock (ln "&amp;B249&amp;")"</f>
        <v>Avg Common Stock (ln 153)</v>
      </c>
      <c r="E254" s="322">
        <f>+L249</f>
        <v>2356149406.3766155</v>
      </c>
      <c r="G254" s="299">
        <f>IF($E$255&gt;0,E254/$E$255,0)</f>
        <v>0.51747447704637717</v>
      </c>
      <c r="H254" s="394"/>
      <c r="I254" s="396"/>
      <c r="J254" s="398">
        <v>0.105</v>
      </c>
      <c r="L254" s="399">
        <f>J254*G254</f>
        <v>5.4334820089869604E-2</v>
      </c>
      <c r="M254" s="276"/>
      <c r="N254" s="276"/>
      <c r="O254" s="57"/>
    </row>
    <row r="255" spans="2:21" ht="15.75">
      <c r="B255" s="64">
        <f>+B254+1</f>
        <v>158</v>
      </c>
      <c r="C255" s="65"/>
      <c r="D255" s="314" t="str">
        <f>"  Total  (sum lns "&amp;B252&amp;" to "&amp;B254&amp;")"</f>
        <v xml:space="preserve">  Total  (sum lns 155 to 157)</v>
      </c>
      <c r="E255" s="296">
        <f>E254+E253+E252</f>
        <v>4553170273.8750772</v>
      </c>
      <c r="G255" s="61" t="s">
        <v>251</v>
      </c>
      <c r="H255" s="394"/>
      <c r="I255" s="61"/>
      <c r="J255" s="276"/>
      <c r="K255" s="400" t="s">
        <v>205</v>
      </c>
      <c r="L255" s="401">
        <f>SUM(L252:L254)</f>
        <v>7.1467617485476143E-2</v>
      </c>
      <c r="M255" s="276"/>
      <c r="N255" s="276"/>
      <c r="P255" s="402"/>
    </row>
    <row r="256" spans="2:21">
      <c r="B256" s="403"/>
      <c r="C256" s="276"/>
      <c r="D256" s="276"/>
      <c r="E256" s="276"/>
      <c r="F256" s="276"/>
      <c r="G256" s="276"/>
      <c r="H256" s="276"/>
      <c r="I256" s="276"/>
      <c r="J256" s="404"/>
      <c r="K256" s="404"/>
      <c r="L256" s="404"/>
      <c r="M256" s="276"/>
      <c r="N256" s="276"/>
      <c r="O256" s="60"/>
      <c r="P256" s="60"/>
      <c r="Q256" s="60"/>
      <c r="R256" s="60"/>
      <c r="S256" s="60"/>
      <c r="T256" s="60"/>
      <c r="U256" s="60"/>
    </row>
    <row r="257" spans="2:21">
      <c r="B257" s="64"/>
      <c r="C257" s="276"/>
      <c r="D257" s="276"/>
      <c r="E257" s="276"/>
      <c r="F257" s="276"/>
      <c r="G257" s="276"/>
      <c r="H257" s="276"/>
      <c r="I257" s="276"/>
      <c r="J257" s="61"/>
      <c r="K257" s="60"/>
      <c r="L257" s="61"/>
      <c r="M257" s="276"/>
      <c r="N257" s="276"/>
      <c r="O257" s="60"/>
      <c r="P257" s="60"/>
      <c r="Q257" s="60"/>
      <c r="R257" s="60"/>
      <c r="S257" s="60"/>
      <c r="T257" s="60"/>
      <c r="U257" s="60"/>
    </row>
    <row r="258" spans="2:21" ht="15.75">
      <c r="B258" s="64"/>
      <c r="C258" s="65"/>
      <c r="D258" s="271"/>
      <c r="E258" s="271"/>
      <c r="F258" s="100" t="str">
        <f>F196</f>
        <v xml:space="preserve">AEP West SPP Member Transmission Companies </v>
      </c>
      <c r="G258" s="272"/>
      <c r="H258" s="61"/>
      <c r="I258" s="61"/>
      <c r="J258" s="61"/>
      <c r="K258" s="60"/>
      <c r="L258" s="61"/>
      <c r="M258" s="276"/>
      <c r="N258" s="276"/>
      <c r="O258" s="60"/>
      <c r="P258" s="60"/>
      <c r="Q258" s="60"/>
      <c r="R258" s="60"/>
      <c r="S258" s="60"/>
      <c r="T258" s="60"/>
      <c r="U258" s="60"/>
    </row>
    <row r="259" spans="2:21">
      <c r="B259" s="64"/>
      <c r="C259" s="65"/>
      <c r="D259" s="408"/>
      <c r="E259" s="65"/>
      <c r="F259" s="100" t="str">
        <f>F197</f>
        <v>Transmission Cost of Service Formula Rate</v>
      </c>
      <c r="G259" s="61"/>
      <c r="H259" s="61"/>
      <c r="I259" s="61"/>
      <c r="J259" s="61"/>
      <c r="K259" s="60"/>
      <c r="L259" s="81"/>
      <c r="M259" s="276"/>
      <c r="N259" s="276"/>
      <c r="O259" s="60"/>
      <c r="P259" s="60"/>
      <c r="Q259" s="60"/>
      <c r="R259" s="60"/>
      <c r="S259" s="60"/>
      <c r="T259" s="60"/>
      <c r="U259" s="60"/>
    </row>
    <row r="260" spans="2:21" ht="15.75">
      <c r="B260" s="64"/>
      <c r="C260" s="65"/>
      <c r="D260" s="408"/>
      <c r="E260" s="71"/>
      <c r="F260" s="100" t="str">
        <f>F198</f>
        <v>Utilizing Actual / Projected Cost Data for the 2022 Rate Year</v>
      </c>
      <c r="G260" s="61"/>
      <c r="H260" s="61"/>
      <c r="I260" s="61"/>
      <c r="J260" s="61"/>
      <c r="K260" s="60"/>
      <c r="L260" s="81"/>
      <c r="M260" s="276"/>
      <c r="N260" s="276"/>
      <c r="O260" s="60"/>
      <c r="P260" s="60"/>
      <c r="Q260" s="60"/>
      <c r="R260" s="60"/>
      <c r="S260" s="60"/>
      <c r="T260" s="60"/>
      <c r="U260" s="60"/>
    </row>
    <row r="261" spans="2:21" ht="15.75">
      <c r="B261" s="64"/>
      <c r="C261" s="65"/>
      <c r="D261" s="408"/>
      <c r="E261" s="71"/>
      <c r="F261" s="100"/>
      <c r="G261" s="61"/>
      <c r="H261" s="61"/>
      <c r="I261" s="61"/>
      <c r="J261" s="61"/>
      <c r="K261" s="60"/>
      <c r="L261" s="81"/>
      <c r="M261" s="276"/>
      <c r="N261" s="276"/>
      <c r="O261" s="60"/>
      <c r="P261" s="60"/>
      <c r="Q261" s="60"/>
      <c r="R261" s="60"/>
      <c r="S261" s="60"/>
      <c r="T261" s="60"/>
      <c r="U261" s="60"/>
    </row>
    <row r="262" spans="2:21" ht="15.75">
      <c r="B262" s="64"/>
      <c r="C262" s="65"/>
      <c r="D262" s="408"/>
      <c r="E262" s="71"/>
      <c r="F262" s="100" t="str">
        <f>F200</f>
        <v>AEP OKLAHOMA TRANSMISSION COMPANY, INC.</v>
      </c>
      <c r="G262" s="61"/>
      <c r="H262" s="61"/>
      <c r="I262" s="61"/>
      <c r="J262" s="61"/>
      <c r="K262" s="60"/>
      <c r="L262" s="81"/>
      <c r="M262" s="276"/>
      <c r="N262" s="276"/>
      <c r="O262" s="60"/>
      <c r="P262" s="60"/>
      <c r="Q262" s="60"/>
      <c r="R262" s="60"/>
      <c r="S262" s="60"/>
      <c r="T262" s="60"/>
      <c r="U262" s="60"/>
    </row>
    <row r="263" spans="2:21" ht="15.75">
      <c r="B263" s="64"/>
      <c r="C263" s="65"/>
      <c r="D263" s="408"/>
      <c r="E263" s="71"/>
      <c r="F263" s="100"/>
      <c r="G263" s="61"/>
      <c r="H263" s="61"/>
      <c r="I263" s="61"/>
      <c r="J263" s="61"/>
      <c r="K263" s="60"/>
      <c r="L263" s="81"/>
      <c r="M263" s="276"/>
      <c r="N263" s="276"/>
      <c r="O263" s="60"/>
      <c r="P263" s="60"/>
      <c r="Q263" s="60"/>
      <c r="R263" s="60"/>
      <c r="S263" s="60"/>
      <c r="T263" s="60"/>
      <c r="U263" s="60"/>
    </row>
    <row r="264" spans="2:21" ht="15.75">
      <c r="B264" s="409" t="s">
        <v>312</v>
      </c>
      <c r="C264" s="74"/>
      <c r="D264" s="57"/>
      <c r="E264" s="60"/>
      <c r="F264" s="409" t="s">
        <v>311</v>
      </c>
      <c r="G264" s="61"/>
      <c r="H264" s="61"/>
      <c r="I264" s="61"/>
      <c r="J264" s="61"/>
      <c r="K264" s="60"/>
      <c r="L264" s="61"/>
      <c r="M264" s="276"/>
      <c r="N264" s="276"/>
      <c r="O264" s="60"/>
      <c r="P264" s="60"/>
      <c r="Q264" s="60"/>
      <c r="R264" s="60"/>
      <c r="S264" s="60"/>
      <c r="T264" s="60"/>
      <c r="U264" s="60"/>
    </row>
    <row r="265" spans="2:21">
      <c r="C265" s="74"/>
      <c r="D265" s="53" t="s">
        <v>650</v>
      </c>
      <c r="L265" s="81"/>
      <c r="M265" s="276"/>
      <c r="N265" s="276"/>
      <c r="O265" s="60"/>
      <c r="P265" s="60"/>
      <c r="Q265" s="60"/>
      <c r="R265" s="60"/>
      <c r="S265" s="60"/>
      <c r="T265" s="60"/>
      <c r="U265" s="60"/>
    </row>
    <row r="266" spans="2:21">
      <c r="B266" s="53"/>
      <c r="D266" s="57"/>
      <c r="E266" s="60"/>
      <c r="F266" s="60"/>
      <c r="G266" s="61"/>
      <c r="H266" s="61"/>
      <c r="I266" s="61"/>
      <c r="J266" s="339"/>
      <c r="K266" s="276"/>
      <c r="L266" s="276"/>
      <c r="M266" s="276"/>
      <c r="N266" s="276"/>
      <c r="O266" s="60"/>
      <c r="P266" s="60"/>
      <c r="Q266" s="60"/>
      <c r="R266" s="60"/>
      <c r="S266" s="60"/>
      <c r="T266" s="60"/>
      <c r="U266" s="60"/>
    </row>
    <row r="267" spans="2:21">
      <c r="B267" s="343" t="s">
        <v>284</v>
      </c>
      <c r="C267" s="74"/>
      <c r="D267" s="57" t="s">
        <v>89</v>
      </c>
      <c r="E267" s="60"/>
      <c r="F267" s="60"/>
      <c r="G267" s="61"/>
      <c r="H267" s="61"/>
      <c r="I267" s="61"/>
      <c r="J267" s="339"/>
      <c r="K267" s="276"/>
      <c r="L267" s="276"/>
      <c r="M267" s="276"/>
      <c r="N267" s="276"/>
      <c r="O267" s="60"/>
      <c r="P267" s="60"/>
      <c r="Q267" s="60"/>
      <c r="R267" s="60"/>
      <c r="S267" s="60"/>
      <c r="T267" s="60"/>
      <c r="U267" s="60"/>
    </row>
    <row r="268" spans="2:21">
      <c r="B268" s="343"/>
      <c r="C268" s="100"/>
      <c r="D268" s="57" t="s">
        <v>90</v>
      </c>
      <c r="E268" s="60"/>
      <c r="F268" s="60"/>
      <c r="G268" s="60"/>
      <c r="H268" s="60"/>
      <c r="I268" s="60"/>
      <c r="J268" s="410"/>
      <c r="K268" s="276"/>
      <c r="L268" s="276"/>
      <c r="M268" s="276"/>
      <c r="N268" s="276"/>
      <c r="O268" s="60"/>
      <c r="P268" s="60"/>
      <c r="Q268" s="60"/>
      <c r="R268" s="60"/>
      <c r="S268" s="60"/>
      <c r="T268" s="60"/>
      <c r="U268" s="60"/>
    </row>
    <row r="269" spans="2:21">
      <c r="D269" s="57" t="s">
        <v>92</v>
      </c>
      <c r="E269" s="300"/>
      <c r="F269" s="300"/>
      <c r="G269" s="60"/>
      <c r="H269" s="60"/>
      <c r="I269" s="60"/>
      <c r="J269" s="410"/>
      <c r="K269" s="276"/>
      <c r="L269" s="276"/>
      <c r="M269" s="276"/>
      <c r="N269" s="276"/>
      <c r="O269" s="60"/>
      <c r="P269" s="60"/>
      <c r="Q269" s="60"/>
      <c r="R269" s="60"/>
      <c r="S269" s="60"/>
      <c r="T269" s="60"/>
      <c r="U269" s="60"/>
    </row>
    <row r="270" spans="2:21">
      <c r="D270" s="57" t="s">
        <v>93</v>
      </c>
      <c r="E270" s="60"/>
      <c r="F270" s="60"/>
      <c r="G270" s="60"/>
      <c r="H270" s="60"/>
      <c r="I270" s="60"/>
      <c r="J270" s="410"/>
      <c r="K270" s="276"/>
      <c r="L270" s="276"/>
      <c r="M270" s="276"/>
      <c r="N270" s="276"/>
      <c r="O270" s="60"/>
      <c r="P270" s="60"/>
      <c r="Q270" s="60"/>
      <c r="R270" s="60"/>
      <c r="S270" s="60"/>
      <c r="T270" s="60"/>
      <c r="U270" s="60"/>
    </row>
    <row r="271" spans="2:21">
      <c r="B271" s="64"/>
      <c r="C271" s="65"/>
      <c r="D271" s="57" t="s">
        <v>872</v>
      </c>
      <c r="E271" s="60"/>
      <c r="F271" s="60"/>
      <c r="G271" s="60"/>
      <c r="H271" s="60"/>
      <c r="I271" s="60"/>
      <c r="J271" s="410"/>
      <c r="K271" s="276"/>
      <c r="L271" s="276"/>
      <c r="M271" s="276"/>
      <c r="N271" s="276"/>
      <c r="O271" s="60"/>
      <c r="P271" s="60"/>
      <c r="Q271" s="60"/>
      <c r="R271" s="60"/>
      <c r="S271" s="60"/>
      <c r="T271" s="60"/>
      <c r="U271" s="60"/>
    </row>
    <row r="272" spans="2:21" ht="15" customHeight="1">
      <c r="B272" s="64"/>
      <c r="C272" s="65"/>
      <c r="D272" s="57"/>
      <c r="E272" s="60"/>
      <c r="F272" s="60"/>
      <c r="G272" s="60"/>
      <c r="H272" s="60"/>
      <c r="I272" s="60"/>
      <c r="J272" s="410"/>
      <c r="K272" s="276"/>
      <c r="L272" s="276"/>
      <c r="M272" s="276"/>
      <c r="N272" s="276"/>
      <c r="O272" s="60"/>
      <c r="P272" s="60"/>
      <c r="Q272" s="60"/>
      <c r="R272" s="60"/>
      <c r="S272" s="60"/>
      <c r="T272" s="60"/>
      <c r="U272" s="60"/>
    </row>
    <row r="273" spans="2:21">
      <c r="B273" s="64" t="s">
        <v>285</v>
      </c>
      <c r="C273" s="65"/>
      <c r="D273" s="404" t="s">
        <v>94</v>
      </c>
      <c r="E273" s="60"/>
      <c r="F273" s="60"/>
      <c r="G273" s="60"/>
      <c r="H273" s="60"/>
      <c r="I273" s="60"/>
      <c r="J273" s="410"/>
      <c r="K273" s="276"/>
      <c r="L273" s="276"/>
      <c r="M273" s="276"/>
      <c r="N273" s="276"/>
      <c r="O273" s="60"/>
      <c r="P273" s="60"/>
      <c r="Q273" s="60"/>
      <c r="R273" s="60"/>
      <c r="S273" s="60"/>
      <c r="T273" s="60"/>
      <c r="U273" s="60"/>
    </row>
    <row r="274" spans="2:21">
      <c r="B274" s="64"/>
      <c r="C274" s="65"/>
      <c r="D274" s="404"/>
      <c r="E274" s="60"/>
      <c r="F274" s="60"/>
      <c r="G274" s="60"/>
      <c r="H274" s="60"/>
      <c r="I274" s="60"/>
      <c r="J274" s="410"/>
      <c r="K274" s="276"/>
      <c r="L274" s="276"/>
      <c r="M274" s="276"/>
      <c r="N274" s="276"/>
      <c r="O274" s="60"/>
      <c r="P274" s="60"/>
      <c r="Q274" s="60"/>
      <c r="R274" s="60"/>
      <c r="S274" s="60"/>
      <c r="T274" s="60"/>
      <c r="U274" s="60"/>
    </row>
    <row r="275" spans="2:21">
      <c r="B275" s="64" t="s">
        <v>286</v>
      </c>
      <c r="C275" s="65"/>
      <c r="D275" s="404" t="s">
        <v>200</v>
      </c>
      <c r="E275" s="60"/>
      <c r="F275" s="60"/>
      <c r="G275" s="60"/>
      <c r="H275" s="60"/>
      <c r="I275" s="60"/>
      <c r="J275" s="410"/>
      <c r="K275" s="276"/>
      <c r="L275" s="276"/>
      <c r="M275" s="276"/>
      <c r="N275" s="276"/>
      <c r="O275" s="60"/>
      <c r="P275" s="60"/>
      <c r="Q275" s="60"/>
      <c r="R275" s="60"/>
      <c r="S275" s="60"/>
      <c r="T275" s="60"/>
      <c r="U275" s="60"/>
    </row>
    <row r="276" spans="2:21">
      <c r="B276" s="64"/>
      <c r="C276" s="65"/>
      <c r="D276" s="404"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6" s="60"/>
      <c r="F276" s="60"/>
      <c r="G276" s="60"/>
      <c r="H276" s="60"/>
      <c r="I276" s="60"/>
      <c r="J276" s="410"/>
      <c r="K276" s="276"/>
      <c r="L276" s="276"/>
      <c r="M276" s="276"/>
      <c r="N276" s="276"/>
      <c r="O276" s="60"/>
      <c r="P276" s="60"/>
      <c r="Q276" s="60"/>
      <c r="R276" s="60"/>
      <c r="S276" s="60"/>
      <c r="T276" s="60"/>
      <c r="U276" s="60"/>
    </row>
    <row r="277" spans="2:21">
      <c r="B277" s="64"/>
      <c r="C277" s="65"/>
      <c r="D277" s="404" t="s">
        <v>201</v>
      </c>
      <c r="E277" s="60"/>
      <c r="F277" s="60"/>
      <c r="G277" s="60"/>
      <c r="H277" s="60"/>
      <c r="I277" s="60"/>
      <c r="J277" s="410"/>
      <c r="K277" s="276"/>
      <c r="L277" s="276"/>
      <c r="M277" s="276"/>
      <c r="N277" s="276"/>
      <c r="O277" s="60"/>
      <c r="P277" s="57"/>
      <c r="Q277" s="57"/>
      <c r="R277" s="60"/>
      <c r="S277" s="60"/>
      <c r="T277" s="60"/>
      <c r="U277" s="60"/>
    </row>
    <row r="278" spans="2:21">
      <c r="B278" s="64"/>
      <c r="C278" s="65"/>
      <c r="D278" s="404"/>
      <c r="E278" s="60"/>
      <c r="F278" s="60"/>
      <c r="G278" s="60"/>
      <c r="H278" s="60"/>
      <c r="I278" s="60"/>
      <c r="J278" s="410"/>
      <c r="K278" s="276"/>
      <c r="L278" s="276"/>
      <c r="M278" s="276"/>
      <c r="N278" s="276"/>
      <c r="O278" s="60"/>
      <c r="P278" s="57"/>
      <c r="Q278" s="57"/>
      <c r="R278" s="60"/>
      <c r="S278" s="60"/>
      <c r="T278" s="60"/>
      <c r="U278" s="60"/>
    </row>
    <row r="279" spans="2:21">
      <c r="B279" s="64" t="s">
        <v>287</v>
      </c>
      <c r="C279" s="65"/>
      <c r="D279" s="2183" t="s">
        <v>873</v>
      </c>
      <c r="E279" s="2182"/>
      <c r="F279" s="2182"/>
      <c r="G279" s="2182"/>
      <c r="H279" s="2182"/>
      <c r="I279" s="2182"/>
      <c r="J279" s="2182"/>
      <c r="K279" s="276"/>
      <c r="L279" s="276"/>
      <c r="M279" s="276"/>
      <c r="N279" s="276"/>
      <c r="O279" s="60"/>
      <c r="P279" s="57"/>
      <c r="Q279" s="57"/>
      <c r="R279" s="60"/>
      <c r="S279" s="60"/>
      <c r="T279" s="60"/>
      <c r="U279" s="60"/>
    </row>
    <row r="280" spans="2:21">
      <c r="B280" s="64"/>
      <c r="C280" s="65"/>
      <c r="D280" s="2182"/>
      <c r="E280" s="2182"/>
      <c r="F280" s="2182"/>
      <c r="G280" s="2182"/>
      <c r="H280" s="2182"/>
      <c r="I280" s="2182"/>
      <c r="J280" s="2182"/>
      <c r="K280" s="276"/>
      <c r="L280" s="276"/>
      <c r="M280" s="276"/>
      <c r="N280" s="276"/>
      <c r="O280" s="60"/>
      <c r="P280" s="57"/>
      <c r="Q280" s="60"/>
      <c r="R280" s="60"/>
      <c r="S280" s="60"/>
      <c r="T280" s="60"/>
      <c r="U280" s="60"/>
    </row>
    <row r="281" spans="2:21">
      <c r="B281" s="64"/>
      <c r="C281" s="65"/>
      <c r="E281" s="60"/>
      <c r="F281" s="60"/>
      <c r="G281" s="60"/>
      <c r="H281" s="60"/>
      <c r="I281" s="60"/>
      <c r="J281" s="410"/>
      <c r="K281" s="276"/>
      <c r="L281" s="276"/>
      <c r="M281" s="276"/>
      <c r="N281" s="276"/>
      <c r="O281" s="60"/>
      <c r="P281" s="60"/>
      <c r="Q281" s="60"/>
      <c r="R281" s="60"/>
      <c r="S281" s="60"/>
      <c r="T281" s="60"/>
      <c r="U281" s="60"/>
    </row>
    <row r="282" spans="2:21">
      <c r="B282" s="64" t="s">
        <v>288</v>
      </c>
      <c r="C282" s="65"/>
      <c r="D282" s="57" t="s">
        <v>198</v>
      </c>
      <c r="E282" s="60"/>
      <c r="F282" s="60"/>
      <c r="G282" s="60"/>
      <c r="H282" s="60"/>
      <c r="I282" s="60"/>
      <c r="J282" s="410"/>
      <c r="K282" s="276"/>
      <c r="L282" s="276"/>
      <c r="M282" s="276"/>
      <c r="N282" s="276"/>
      <c r="O282" s="60"/>
      <c r="P282" s="60"/>
      <c r="Q282" s="60"/>
      <c r="R282" s="60"/>
      <c r="S282" s="60"/>
      <c r="T282" s="60"/>
      <c r="U282" s="60"/>
    </row>
    <row r="283" spans="2:21">
      <c r="B283" s="64"/>
      <c r="C283" s="65"/>
      <c r="D283" s="57" t="s">
        <v>414</v>
      </c>
      <c r="E283" s="60"/>
      <c r="F283" s="60"/>
      <c r="G283" s="60"/>
      <c r="H283" s="60"/>
      <c r="I283" s="60"/>
      <c r="J283" s="410"/>
      <c r="K283" s="276"/>
      <c r="L283" s="276"/>
      <c r="M283" s="276"/>
      <c r="N283" s="276"/>
      <c r="O283" s="60"/>
      <c r="P283" s="60"/>
      <c r="Q283" s="60"/>
      <c r="R283" s="60"/>
      <c r="S283" s="60"/>
      <c r="T283" s="60"/>
      <c r="U283" s="60"/>
    </row>
    <row r="284" spans="2:21">
      <c r="C284" s="65"/>
      <c r="D284" s="57" t="s">
        <v>622</v>
      </c>
      <c r="E284" s="60"/>
      <c r="F284" s="60"/>
      <c r="G284" s="60"/>
      <c r="H284" s="60"/>
      <c r="I284" s="60"/>
      <c r="J284" s="410"/>
      <c r="K284" s="276"/>
      <c r="L284" s="276"/>
      <c r="M284" s="276"/>
      <c r="N284" s="276"/>
      <c r="O284" s="60"/>
      <c r="P284" s="60"/>
      <c r="Q284" s="60"/>
      <c r="R284" s="60"/>
      <c r="S284" s="60"/>
      <c r="T284" s="60"/>
      <c r="U284" s="60"/>
    </row>
    <row r="285" spans="2:21">
      <c r="B285" s="64"/>
      <c r="C285" s="65"/>
      <c r="D285" s="57" t="s">
        <v>199</v>
      </c>
      <c r="E285" s="60"/>
      <c r="F285" s="60"/>
      <c r="G285" s="60"/>
      <c r="H285" s="60"/>
      <c r="I285" s="60"/>
      <c r="J285" s="410"/>
      <c r="K285" s="276"/>
      <c r="L285" s="276"/>
      <c r="M285" s="276"/>
      <c r="N285" s="276"/>
      <c r="O285" s="60"/>
      <c r="P285" s="60"/>
      <c r="Q285" s="60"/>
      <c r="R285" s="60"/>
      <c r="S285" s="60"/>
      <c r="T285" s="60"/>
      <c r="U285" s="60"/>
    </row>
    <row r="286" spans="2:21">
      <c r="B286" s="64"/>
      <c r="C286" s="65"/>
      <c r="D286" s="57"/>
      <c r="E286" s="60"/>
      <c r="F286" s="60"/>
      <c r="G286" s="60"/>
      <c r="H286" s="60"/>
      <c r="I286" s="60"/>
      <c r="J286" s="410"/>
      <c r="K286" s="276"/>
      <c r="L286" s="276"/>
      <c r="M286" s="276"/>
      <c r="N286" s="276"/>
      <c r="O286" s="60"/>
      <c r="P286" s="60"/>
      <c r="Q286" s="60"/>
      <c r="R286" s="60"/>
      <c r="S286" s="60"/>
      <c r="T286" s="60"/>
      <c r="U286" s="60"/>
    </row>
    <row r="287" spans="2:21">
      <c r="B287" s="64" t="s">
        <v>289</v>
      </c>
      <c r="C287" s="65"/>
      <c r="D287" s="57" t="s">
        <v>133</v>
      </c>
      <c r="E287" s="60"/>
      <c r="F287" s="60"/>
      <c r="G287" s="60"/>
      <c r="H287" s="60"/>
      <c r="I287" s="60"/>
      <c r="J287" s="410"/>
      <c r="K287" s="276"/>
      <c r="L287" s="276"/>
      <c r="M287" s="276"/>
      <c r="N287" s="276"/>
      <c r="O287" s="60"/>
      <c r="P287" s="60"/>
      <c r="Q287" s="60"/>
      <c r="R287" s="60"/>
      <c r="S287" s="60"/>
      <c r="T287" s="60"/>
      <c r="U287" s="60"/>
    </row>
    <row r="288" spans="2:21">
      <c r="B288" s="64"/>
      <c r="C288" s="65"/>
      <c r="D288" s="57"/>
      <c r="E288" s="60"/>
      <c r="F288" s="60"/>
      <c r="G288" s="60"/>
      <c r="H288" s="60"/>
      <c r="I288" s="60"/>
      <c r="J288" s="410"/>
      <c r="K288" s="276"/>
      <c r="L288" s="276"/>
      <c r="M288" s="276"/>
      <c r="N288" s="276"/>
      <c r="O288" s="60"/>
      <c r="P288" s="60"/>
      <c r="Q288" s="60"/>
      <c r="R288" s="60"/>
      <c r="S288" s="60"/>
      <c r="T288" s="60"/>
      <c r="U288" s="60"/>
    </row>
    <row r="289" spans="2:21">
      <c r="B289" s="64" t="s">
        <v>290</v>
      </c>
      <c r="C289" s="65"/>
      <c r="D289" s="57" t="str">
        <f>"Cash Working Capital assigned to transmission is one-eighth of O&amp;M allocated to transmission on line "&amp;B134&amp;"."</f>
        <v>Cash Working Capital assigned to transmission is one-eighth of O&amp;M allocated to transmission on line 70.</v>
      </c>
      <c r="E289" s="60"/>
      <c r="F289" s="60"/>
      <c r="G289" s="60"/>
      <c r="H289" s="60"/>
      <c r="I289" s="60"/>
      <c r="J289" s="410"/>
      <c r="K289" s="276"/>
      <c r="L289" s="276"/>
      <c r="M289" s="276"/>
      <c r="N289" s="276"/>
      <c r="O289" s="60"/>
      <c r="P289" s="60"/>
      <c r="Q289" s="60"/>
      <c r="R289" s="60"/>
      <c r="S289" s="60"/>
      <c r="T289" s="60"/>
      <c r="U289" s="60"/>
    </row>
    <row r="290" spans="2:21">
      <c r="B290" s="64"/>
      <c r="C290" s="65"/>
      <c r="D290" s="57"/>
      <c r="E290" s="60"/>
      <c r="F290" s="60"/>
      <c r="G290" s="60"/>
      <c r="H290" s="60"/>
      <c r="I290" s="60"/>
      <c r="J290" s="410"/>
      <c r="K290" s="276"/>
      <c r="L290" s="276"/>
      <c r="M290" s="276"/>
      <c r="N290" s="276"/>
      <c r="O290" s="60"/>
      <c r="P290" s="60"/>
      <c r="Q290" s="60"/>
      <c r="R290" s="60"/>
      <c r="S290" s="60"/>
      <c r="T290" s="60"/>
      <c r="U290" s="60"/>
    </row>
    <row r="291" spans="2:21">
      <c r="B291" s="343" t="s">
        <v>291</v>
      </c>
      <c r="C291" s="100"/>
      <c r="D291"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1" s="339"/>
      <c r="K291" s="276"/>
      <c r="L291" s="276"/>
      <c r="M291" s="276"/>
      <c r="N291" s="276"/>
      <c r="O291" s="60"/>
      <c r="P291" s="60"/>
      <c r="Q291" s="60"/>
      <c r="R291" s="60"/>
      <c r="S291" s="60"/>
      <c r="T291" s="60"/>
      <c r="U291" s="60"/>
    </row>
    <row r="292" spans="2:21">
      <c r="D292" s="53" t="s">
        <v>352</v>
      </c>
      <c r="J292" s="339"/>
      <c r="K292" s="276"/>
      <c r="L292" s="276"/>
      <c r="M292" s="276"/>
      <c r="N292" s="276"/>
      <c r="O292" s="60"/>
      <c r="P292" s="60"/>
      <c r="Q292" s="60"/>
      <c r="R292" s="60"/>
      <c r="S292" s="60"/>
      <c r="T292" s="60"/>
      <c r="U292" s="60"/>
    </row>
    <row r="293" spans="2:21">
      <c r="D293" s="53" t="str">
        <f>"expense is included on line "&amp;B186&amp;"."</f>
        <v>expense is included on line 113.</v>
      </c>
      <c r="J293" s="339"/>
      <c r="K293" s="276"/>
      <c r="L293" s="276"/>
      <c r="M293" s="276"/>
      <c r="N293" s="276"/>
      <c r="O293" s="60"/>
      <c r="P293" s="60"/>
      <c r="Q293" s="60"/>
      <c r="R293" s="60"/>
      <c r="S293" s="60"/>
      <c r="T293" s="60"/>
      <c r="U293" s="60"/>
    </row>
    <row r="294" spans="2:21">
      <c r="J294" s="339"/>
      <c r="K294" s="276"/>
      <c r="L294" s="276"/>
      <c r="M294" s="276"/>
      <c r="N294" s="276"/>
      <c r="O294" s="60"/>
      <c r="P294" s="60"/>
      <c r="Q294" s="60"/>
      <c r="R294" s="60"/>
      <c r="S294" s="60"/>
      <c r="T294" s="60"/>
      <c r="U294" s="60"/>
    </row>
    <row r="295" spans="2:21" ht="20.25" customHeight="1">
      <c r="B295" s="343" t="s">
        <v>292</v>
      </c>
      <c r="D295" s="2180"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5" s="2180"/>
      <c r="F295" s="2180"/>
      <c r="G295" s="2180"/>
      <c r="H295" s="2180"/>
      <c r="I295" s="2180"/>
      <c r="J295" s="2180"/>
      <c r="K295" s="276"/>
      <c r="L295" s="276"/>
      <c r="M295" s="276"/>
      <c r="N295" s="276"/>
      <c r="O295" s="60"/>
      <c r="P295" s="60"/>
      <c r="Q295" s="60"/>
      <c r="R295" s="60"/>
      <c r="S295" s="60"/>
      <c r="T295" s="60"/>
      <c r="U295" s="60"/>
    </row>
    <row r="296" spans="2:21">
      <c r="B296" s="343"/>
      <c r="D296" s="57"/>
      <c r="J296" s="339"/>
      <c r="K296" s="276"/>
      <c r="L296" s="276"/>
      <c r="M296" s="276"/>
      <c r="N296" s="276"/>
      <c r="O296" s="60"/>
      <c r="P296" s="60"/>
      <c r="Q296" s="60"/>
      <c r="R296" s="60"/>
      <c r="S296" s="60"/>
      <c r="T296" s="60"/>
      <c r="U296" s="60"/>
    </row>
    <row r="297" spans="2:21">
      <c r="B297" s="343" t="s">
        <v>293</v>
      </c>
      <c r="D297" s="53" t="s">
        <v>134</v>
      </c>
      <c r="J297" s="339"/>
      <c r="K297" s="276"/>
      <c r="L297" s="276"/>
      <c r="M297" s="276"/>
      <c r="N297" s="276"/>
      <c r="O297" s="60"/>
      <c r="P297" s="60"/>
      <c r="Q297" s="60"/>
      <c r="R297" s="60"/>
      <c r="S297" s="60"/>
      <c r="T297" s="60"/>
      <c r="U297" s="60"/>
    </row>
    <row r="298" spans="2:21">
      <c r="B298" s="343"/>
      <c r="J298" s="339"/>
      <c r="K298" s="276"/>
      <c r="L298" s="276"/>
      <c r="M298" s="276"/>
      <c r="N298" s="276"/>
      <c r="O298" s="60"/>
      <c r="P298" s="60"/>
      <c r="Q298" s="60"/>
      <c r="R298" s="60"/>
      <c r="S298" s="60"/>
      <c r="T298" s="60"/>
      <c r="U298" s="60"/>
    </row>
    <row r="299" spans="2:21">
      <c r="B299" s="64" t="s">
        <v>294</v>
      </c>
      <c r="D299" s="53" t="s">
        <v>660</v>
      </c>
      <c r="J299" s="339"/>
      <c r="K299" s="276"/>
      <c r="L299" s="276"/>
      <c r="M299" s="276"/>
      <c r="N299" s="276"/>
      <c r="O299" s="60"/>
      <c r="P299" s="60"/>
      <c r="Q299" s="60"/>
      <c r="R299" s="60"/>
      <c r="S299" s="60"/>
      <c r="T299" s="60"/>
      <c r="U299" s="60"/>
    </row>
    <row r="300" spans="2:21">
      <c r="B300" s="343"/>
      <c r="J300" s="339"/>
      <c r="K300" s="276"/>
      <c r="L300" s="276"/>
      <c r="M300" s="276"/>
      <c r="N300" s="276"/>
      <c r="O300" s="60"/>
      <c r="P300" s="60"/>
      <c r="Q300" s="60"/>
      <c r="R300" s="60"/>
      <c r="S300" s="60"/>
      <c r="T300" s="60"/>
      <c r="U300" s="60"/>
    </row>
    <row r="301" spans="2:21">
      <c r="B301" s="64" t="s">
        <v>295</v>
      </c>
      <c r="C301" s="65"/>
      <c r="D301" s="57" t="s">
        <v>874</v>
      </c>
      <c r="E301" s="60"/>
      <c r="F301" s="60"/>
      <c r="G301" s="60"/>
      <c r="H301" s="60"/>
      <c r="I301" s="60"/>
      <c r="J301" s="410"/>
      <c r="K301" s="276"/>
      <c r="L301" s="276"/>
      <c r="M301" s="276"/>
      <c r="N301" s="276"/>
      <c r="O301" s="60"/>
      <c r="P301" s="60"/>
      <c r="Q301" s="60"/>
      <c r="R301" s="60"/>
      <c r="S301" s="60"/>
      <c r="T301" s="60"/>
      <c r="U301" s="60"/>
    </row>
    <row r="302" spans="2:21">
      <c r="B302" s="64"/>
      <c r="C302" s="65"/>
      <c r="D302" s="57" t="s">
        <v>135</v>
      </c>
      <c r="E302" s="60"/>
      <c r="F302" s="60"/>
      <c r="G302" s="60"/>
      <c r="H302" s="60"/>
      <c r="I302" s="60"/>
      <c r="J302" s="410"/>
      <c r="K302" s="276"/>
      <c r="L302" s="276"/>
      <c r="M302" s="276"/>
      <c r="N302" s="276"/>
      <c r="O302" s="60"/>
      <c r="P302" s="60"/>
      <c r="Q302" s="60"/>
      <c r="R302" s="60"/>
      <c r="S302" s="60"/>
      <c r="T302" s="60"/>
      <c r="U302" s="60"/>
    </row>
    <row r="303" spans="2:21">
      <c r="B303" s="64"/>
      <c r="C303" s="65"/>
      <c r="D303" s="57" t="s">
        <v>136</v>
      </c>
      <c r="E303" s="60"/>
      <c r="F303" s="60"/>
      <c r="G303" s="60"/>
      <c r="H303" s="60"/>
      <c r="I303" s="60"/>
      <c r="J303" s="410"/>
      <c r="K303" s="276"/>
      <c r="L303" s="276"/>
      <c r="M303" s="276"/>
      <c r="N303" s="276"/>
      <c r="O303" s="60"/>
      <c r="P303" s="60"/>
      <c r="Q303" s="60"/>
      <c r="R303" s="60"/>
      <c r="S303" s="60"/>
      <c r="T303" s="60"/>
      <c r="U303" s="60"/>
    </row>
    <row r="304" spans="2:21">
      <c r="B304" s="64"/>
      <c r="C304" s="65"/>
      <c r="D304" s="53" t="s">
        <v>875</v>
      </c>
      <c r="E304" s="60"/>
      <c r="F304" s="60"/>
      <c r="G304" s="60"/>
      <c r="H304" s="60"/>
      <c r="I304" s="60"/>
      <c r="J304" s="410"/>
      <c r="K304" s="276"/>
      <c r="L304" s="276"/>
      <c r="M304" s="276"/>
      <c r="N304" s="276"/>
      <c r="O304" s="60"/>
      <c r="P304" s="60"/>
      <c r="Q304" s="60"/>
      <c r="R304" s="60"/>
      <c r="S304" s="60"/>
      <c r="T304" s="60"/>
      <c r="U304" s="60"/>
    </row>
    <row r="305" spans="2:21">
      <c r="B305" s="64"/>
      <c r="C305" s="65"/>
      <c r="E305" s="60"/>
      <c r="F305" s="60"/>
      <c r="G305" s="60"/>
      <c r="H305" s="60"/>
      <c r="I305" s="60"/>
      <c r="J305" s="410"/>
      <c r="K305" s="276"/>
      <c r="L305" s="276"/>
      <c r="M305" s="276"/>
      <c r="N305" s="276"/>
      <c r="O305" s="60"/>
      <c r="P305" s="60"/>
      <c r="Q305" s="60"/>
      <c r="R305" s="60"/>
      <c r="S305" s="60"/>
      <c r="T305" s="60"/>
      <c r="U305" s="60"/>
    </row>
    <row r="306" spans="2:21" ht="62.25" customHeight="1">
      <c r="B306" s="411" t="s">
        <v>296</v>
      </c>
      <c r="C306" s="65"/>
      <c r="D306" s="2177" t="s">
        <v>655</v>
      </c>
      <c r="E306" s="2177"/>
      <c r="F306" s="2177"/>
      <c r="G306" s="2177"/>
      <c r="H306" s="2177"/>
      <c r="I306" s="2177"/>
      <c r="J306" s="2177"/>
      <c r="K306" s="276"/>
      <c r="L306" s="276"/>
      <c r="M306" s="276"/>
      <c r="N306" s="276"/>
      <c r="O306" s="60"/>
      <c r="P306" s="60"/>
      <c r="Q306" s="60"/>
      <c r="R306" s="60"/>
      <c r="S306" s="60"/>
      <c r="T306" s="60"/>
      <c r="U306" s="60"/>
    </row>
    <row r="307" spans="2:21">
      <c r="B307" s="100"/>
      <c r="C307" s="65"/>
      <c r="E307" s="60"/>
      <c r="F307" s="60"/>
      <c r="G307" s="60"/>
      <c r="H307" s="60"/>
      <c r="I307" s="60"/>
      <c r="J307" s="410"/>
      <c r="K307" s="276"/>
      <c r="L307" s="276"/>
      <c r="M307" s="276"/>
      <c r="N307" s="276"/>
      <c r="O307" s="60"/>
      <c r="P307" s="60"/>
      <c r="Q307" s="60"/>
      <c r="R307" s="60"/>
      <c r="S307" s="60"/>
      <c r="T307" s="60"/>
      <c r="U307" s="60"/>
    </row>
    <row r="308" spans="2:21" ht="30.75" customHeight="1">
      <c r="B308" s="411" t="s">
        <v>364</v>
      </c>
      <c r="C308" s="65"/>
      <c r="D308" s="2179" t="s">
        <v>623</v>
      </c>
      <c r="E308" s="2179"/>
      <c r="F308" s="2179"/>
      <c r="G308" s="2179"/>
      <c r="H308" s="2179"/>
      <c r="I308" s="2179"/>
      <c r="J308" s="2179"/>
      <c r="K308" s="276"/>
      <c r="L308" s="276"/>
      <c r="M308" s="276"/>
      <c r="N308" s="276"/>
      <c r="O308" s="60"/>
      <c r="P308" s="60"/>
      <c r="Q308" s="60"/>
      <c r="R308" s="60"/>
      <c r="S308" s="60"/>
      <c r="T308" s="60"/>
      <c r="U308" s="60"/>
    </row>
    <row r="309" spans="2:21">
      <c r="C309" s="65"/>
      <c r="D309" s="163"/>
      <c r="E309" s="163"/>
      <c r="F309" s="163"/>
      <c r="G309" s="163"/>
      <c r="H309" s="163"/>
      <c r="I309" s="163"/>
      <c r="J309" s="163"/>
      <c r="K309" s="276"/>
      <c r="L309" s="276"/>
      <c r="M309" s="276"/>
      <c r="N309" s="276"/>
      <c r="O309" s="60"/>
      <c r="P309" s="60"/>
      <c r="Q309" s="60"/>
      <c r="R309" s="60"/>
      <c r="S309" s="60"/>
      <c r="T309" s="60"/>
      <c r="U309" s="60"/>
    </row>
    <row r="310" spans="2:21">
      <c r="B310" s="64" t="s">
        <v>385</v>
      </c>
      <c r="C310" s="65"/>
      <c r="D310" s="57" t="s">
        <v>406</v>
      </c>
      <c r="E310" s="60"/>
      <c r="F310" s="60"/>
      <c r="G310" s="60"/>
      <c r="H310" s="60"/>
      <c r="I310" s="60"/>
      <c r="J310" s="410"/>
      <c r="K310" s="276"/>
      <c r="L310" s="276"/>
      <c r="M310" s="276"/>
      <c r="N310" s="276"/>
      <c r="O310" s="60"/>
      <c r="P310" s="60"/>
      <c r="Q310" s="60"/>
      <c r="R310" s="60"/>
      <c r="S310" s="60"/>
      <c r="T310" s="60"/>
      <c r="U310" s="60"/>
    </row>
    <row r="311" spans="2:21">
      <c r="B311" s="64"/>
      <c r="C311" s="65"/>
      <c r="D311" s="57" t="s">
        <v>2</v>
      </c>
      <c r="E311" s="60"/>
      <c r="F311" s="60"/>
      <c r="G311" s="60"/>
      <c r="H311" s="60"/>
      <c r="I311" s="60"/>
      <c r="J311" s="410"/>
      <c r="K311" s="276"/>
      <c r="L311" s="276"/>
      <c r="M311" s="276"/>
      <c r="N311" s="276"/>
      <c r="O311" s="60"/>
      <c r="P311" s="60"/>
      <c r="Q311" s="60"/>
      <c r="R311" s="60"/>
      <c r="S311" s="60"/>
      <c r="T311" s="60"/>
      <c r="U311" s="60"/>
    </row>
    <row r="312" spans="2:21">
      <c r="B312" s="64"/>
      <c r="C312" s="65"/>
      <c r="D312" s="57" t="s">
        <v>3</v>
      </c>
      <c r="E312" s="60"/>
      <c r="F312" s="60"/>
      <c r="G312" s="60"/>
      <c r="H312" s="60"/>
      <c r="I312" s="60"/>
      <c r="J312" s="410"/>
      <c r="K312" s="276"/>
      <c r="L312" s="276"/>
      <c r="M312" s="276"/>
      <c r="N312" s="276"/>
      <c r="O312" s="60"/>
      <c r="P312" s="60"/>
      <c r="Q312" s="60"/>
      <c r="R312" s="60"/>
      <c r="S312" s="60"/>
      <c r="T312" s="60"/>
      <c r="U312" s="60"/>
    </row>
    <row r="313" spans="2:21">
      <c r="B313" s="64"/>
      <c r="C313" s="65"/>
      <c r="D313" s="57" t="s">
        <v>4</v>
      </c>
      <c r="E313" s="60"/>
      <c r="F313" s="60"/>
      <c r="G313" s="60"/>
      <c r="H313" s="60"/>
      <c r="I313" s="60"/>
      <c r="J313" s="410"/>
      <c r="K313" s="276"/>
      <c r="L313" s="276"/>
      <c r="M313" s="276"/>
      <c r="N313" s="276"/>
      <c r="O313" s="60"/>
      <c r="P313" s="60"/>
      <c r="Q313" s="60"/>
      <c r="R313" s="60"/>
      <c r="S313" s="60"/>
      <c r="T313" s="60"/>
      <c r="U313" s="60"/>
    </row>
    <row r="314" spans="2:21">
      <c r="B314" s="64"/>
      <c r="C314" s="65"/>
      <c r="D314" s="57" t="s">
        <v>5</v>
      </c>
      <c r="E314" s="60"/>
      <c r="F314" s="60"/>
      <c r="G314" s="60"/>
      <c r="H314" s="60"/>
      <c r="I314" s="60"/>
      <c r="J314" s="410"/>
      <c r="K314" s="276"/>
      <c r="L314" s="276"/>
      <c r="M314" s="276"/>
      <c r="N314" s="276"/>
      <c r="O314" s="60"/>
      <c r="P314" s="60"/>
      <c r="Q314" s="60"/>
      <c r="R314" s="60"/>
      <c r="S314" s="60"/>
      <c r="T314" s="60"/>
      <c r="U314" s="60"/>
    </row>
    <row r="315" spans="2:21">
      <c r="B315" s="64"/>
      <c r="C315" s="65"/>
      <c r="D315" s="57" t="str">
        <f>"(ln "&amp;B168&amp;") multiplied by (1/1-T) .  If the applicable tax rates are zero enter 0."</f>
        <v>(ln 99) multiplied by (1/1-T) .  If the applicable tax rates are zero enter 0.</v>
      </c>
      <c r="E315" s="60"/>
      <c r="F315" s="60"/>
      <c r="G315" s="60"/>
      <c r="H315" s="60"/>
      <c r="I315" s="60"/>
      <c r="J315" s="410"/>
      <c r="K315" s="276"/>
      <c r="L315" s="276"/>
      <c r="M315" s="276"/>
      <c r="N315" s="276"/>
      <c r="O315" s="60"/>
      <c r="P315" s="60"/>
      <c r="Q315" s="60"/>
      <c r="R315" s="60"/>
      <c r="S315" s="60"/>
      <c r="T315" s="60"/>
      <c r="U315" s="60"/>
    </row>
    <row r="316" spans="2:21">
      <c r="B316" s="64" t="s">
        <v>251</v>
      </c>
      <c r="C316" s="65"/>
      <c r="D316" s="57" t="s">
        <v>6</v>
      </c>
      <c r="E316" s="60" t="s">
        <v>7</v>
      </c>
      <c r="F316" s="398">
        <v>0.21</v>
      </c>
      <c r="G316" s="60"/>
      <c r="I316" s="60"/>
      <c r="J316" s="410"/>
      <c r="K316" s="276"/>
      <c r="L316" s="276"/>
      <c r="M316" s="276"/>
      <c r="N316" s="276"/>
      <c r="O316" s="60"/>
      <c r="P316" s="60"/>
      <c r="Q316" s="60"/>
      <c r="R316" s="60"/>
      <c r="S316" s="60"/>
      <c r="T316" s="60"/>
      <c r="U316" s="60"/>
    </row>
    <row r="317" spans="2:21">
      <c r="B317" s="64"/>
      <c r="C317" s="65"/>
      <c r="D317" s="57"/>
      <c r="E317" s="60" t="s">
        <v>8</v>
      </c>
      <c r="F317" s="300">
        <f>+'OKT WS K State Taxes'!F29</f>
        <v>3.8300000000000001E-2</v>
      </c>
      <c r="G317" s="60" t="s">
        <v>116</v>
      </c>
      <c r="I317" s="60"/>
      <c r="J317" s="410"/>
      <c r="K317" s="276"/>
      <c r="L317" s="276"/>
      <c r="M317" s="276"/>
      <c r="N317" s="276"/>
      <c r="O317" s="60"/>
      <c r="P317" s="60"/>
      <c r="Q317" s="60"/>
      <c r="R317" s="60"/>
      <c r="S317" s="60"/>
      <c r="T317" s="60"/>
      <c r="U317" s="60"/>
    </row>
    <row r="318" spans="2:21">
      <c r="B318" s="64"/>
      <c r="C318" s="65"/>
      <c r="D318" s="57"/>
      <c r="E318" s="60" t="s">
        <v>9</v>
      </c>
      <c r="F318" s="398">
        <v>0</v>
      </c>
      <c r="G318" s="60" t="s">
        <v>10</v>
      </c>
      <c r="I318" s="60"/>
      <c r="J318" s="410"/>
      <c r="K318" s="276"/>
      <c r="L318" s="276"/>
      <c r="M318" s="276"/>
      <c r="N318" s="276"/>
      <c r="O318" s="60"/>
      <c r="P318" s="60"/>
      <c r="Q318" s="60"/>
      <c r="R318" s="60"/>
      <c r="S318" s="60"/>
      <c r="T318" s="60"/>
      <c r="U318" s="60"/>
    </row>
    <row r="319" spans="2:21" ht="39.75" customHeight="1">
      <c r="B319" s="64"/>
      <c r="C319" s="65"/>
      <c r="D319" s="2178" t="s">
        <v>885</v>
      </c>
      <c r="E319" s="2178"/>
      <c r="F319" s="2178"/>
      <c r="G319" s="2178"/>
      <c r="H319" s="2178"/>
      <c r="I319" s="2178"/>
      <c r="J319" s="2178"/>
      <c r="K319" s="412"/>
      <c r="L319" s="412"/>
      <c r="M319" s="276"/>
      <c r="N319" s="276"/>
      <c r="O319" s="60"/>
      <c r="P319" s="60"/>
      <c r="Q319" s="60"/>
      <c r="R319" s="60"/>
      <c r="S319" s="60"/>
      <c r="T319" s="60"/>
      <c r="U319" s="60"/>
    </row>
    <row r="320" spans="2:21">
      <c r="B320" s="64"/>
      <c r="C320" s="65"/>
      <c r="D320" s="57"/>
      <c r="E320" s="60"/>
      <c r="F320" s="300"/>
      <c r="G320" s="60"/>
      <c r="I320" s="60"/>
      <c r="J320" s="410"/>
      <c r="K320" s="276"/>
      <c r="L320" s="276"/>
      <c r="M320" s="276"/>
      <c r="N320" s="276"/>
      <c r="O320" s="60"/>
      <c r="P320" s="60"/>
      <c r="Q320" s="60"/>
      <c r="R320" s="60"/>
      <c r="S320" s="60"/>
      <c r="T320" s="60"/>
      <c r="U320" s="60"/>
    </row>
    <row r="321" spans="2:21">
      <c r="B321" s="64"/>
      <c r="C321" s="65"/>
      <c r="D321" s="57"/>
      <c r="E321" s="60"/>
      <c r="F321" s="300"/>
      <c r="G321" s="60"/>
      <c r="I321" s="60"/>
      <c r="J321" s="410"/>
      <c r="K321" s="276"/>
      <c r="L321" s="276"/>
      <c r="M321" s="276"/>
      <c r="N321" s="276"/>
      <c r="O321" s="60"/>
      <c r="P321" s="60"/>
      <c r="Q321" s="60"/>
      <c r="R321" s="60"/>
      <c r="S321" s="60"/>
      <c r="T321" s="60"/>
      <c r="U321" s="60"/>
    </row>
    <row r="322" spans="2:21">
      <c r="B322" s="64" t="s">
        <v>11</v>
      </c>
      <c r="C322" s="65"/>
      <c r="D322" s="57" t="s">
        <v>656</v>
      </c>
      <c r="E322" s="60"/>
      <c r="F322" s="60"/>
      <c r="G322" s="300"/>
      <c r="H322" s="60"/>
      <c r="I322" s="60"/>
      <c r="J322" s="410"/>
      <c r="K322" s="276"/>
      <c r="L322" s="276"/>
      <c r="M322" s="276"/>
      <c r="N322" s="276"/>
      <c r="O322" s="60"/>
      <c r="P322" s="60"/>
      <c r="Q322" s="60"/>
      <c r="R322" s="60"/>
      <c r="S322" s="60"/>
      <c r="T322" s="60"/>
      <c r="U322" s="60"/>
    </row>
    <row r="323" spans="2:21">
      <c r="B323" s="64"/>
      <c r="C323" s="65"/>
      <c r="D323" s="57" t="s">
        <v>0</v>
      </c>
      <c r="E323" s="60"/>
      <c r="F323" s="60"/>
      <c r="G323" s="300"/>
      <c r="H323" s="60"/>
      <c r="I323" s="60"/>
      <c r="J323" s="410"/>
      <c r="K323" s="276"/>
      <c r="L323" s="276"/>
      <c r="M323" s="276"/>
      <c r="N323" s="276"/>
      <c r="O323" s="60"/>
      <c r="P323" s="60"/>
      <c r="Q323" s="60"/>
      <c r="R323" s="60"/>
      <c r="S323" s="60"/>
      <c r="T323" s="60"/>
      <c r="U323" s="60"/>
    </row>
    <row r="324" spans="2:21">
      <c r="B324" s="64"/>
      <c r="C324" s="65"/>
      <c r="D324" s="57"/>
      <c r="E324" s="60"/>
      <c r="F324" s="60"/>
      <c r="G324" s="300"/>
      <c r="H324" s="60"/>
      <c r="I324" s="60"/>
      <c r="J324" s="410"/>
      <c r="K324" s="276"/>
      <c r="L324" s="276"/>
      <c r="M324" s="276"/>
      <c r="N324" s="276"/>
      <c r="O324" s="60"/>
      <c r="P324" s="60"/>
      <c r="Q324" s="60"/>
      <c r="R324" s="60"/>
      <c r="S324" s="60"/>
      <c r="T324" s="60"/>
      <c r="U324" s="60"/>
    </row>
    <row r="325" spans="2:21" ht="18.75" customHeight="1">
      <c r="B325" s="413" t="s">
        <v>12</v>
      </c>
      <c r="C325" s="414"/>
      <c r="D325" s="2177" t="s">
        <v>904</v>
      </c>
      <c r="E325" s="2177"/>
      <c r="F325" s="2177"/>
      <c r="G325" s="2177"/>
      <c r="H325" s="2177"/>
      <c r="I325" s="2177"/>
      <c r="J325" s="2177"/>
      <c r="K325" s="276"/>
      <c r="L325" s="276"/>
      <c r="M325" s="276"/>
      <c r="N325" s="276"/>
      <c r="O325" s="60"/>
      <c r="P325" s="60"/>
      <c r="Q325" s="60"/>
      <c r="R325" s="60"/>
      <c r="S325" s="60"/>
      <c r="T325" s="60"/>
      <c r="U325" s="60"/>
    </row>
    <row r="326" spans="2:21">
      <c r="B326" s="53"/>
      <c r="D326" s="57"/>
      <c r="J326" s="339"/>
      <c r="K326" s="276"/>
      <c r="L326" s="276"/>
      <c r="M326" s="276"/>
      <c r="N326" s="276"/>
      <c r="O326" s="60"/>
      <c r="P326" s="60"/>
      <c r="Q326" s="60"/>
      <c r="R326" s="60"/>
      <c r="S326" s="60"/>
      <c r="T326" s="60"/>
      <c r="U326" s="60"/>
    </row>
    <row r="327" spans="2:21">
      <c r="B327" s="64" t="s">
        <v>13</v>
      </c>
      <c r="C327" s="65"/>
      <c r="D327" s="57" t="s">
        <v>529</v>
      </c>
      <c r="J327" s="339"/>
      <c r="K327" s="276"/>
      <c r="L327" s="276"/>
      <c r="M327" s="276"/>
      <c r="N327" s="276"/>
      <c r="O327" s="60"/>
      <c r="P327" s="60"/>
      <c r="Q327" s="60"/>
      <c r="R327" s="60"/>
      <c r="S327" s="60"/>
      <c r="T327" s="60"/>
      <c r="U327" s="60"/>
    </row>
    <row r="328" spans="2:21">
      <c r="B328" s="64"/>
      <c r="C328" s="65"/>
      <c r="D328" s="57"/>
      <c r="E328" s="60"/>
      <c r="F328" s="60"/>
      <c r="G328" s="60"/>
      <c r="H328" s="60"/>
      <c r="I328" s="60"/>
      <c r="J328" s="410"/>
      <c r="K328" s="276"/>
      <c r="L328" s="276"/>
      <c r="M328" s="276"/>
      <c r="N328" s="276"/>
      <c r="O328" s="60"/>
      <c r="P328" s="60"/>
      <c r="Q328" s="60"/>
      <c r="R328" s="60"/>
      <c r="S328" s="60"/>
      <c r="T328" s="60"/>
      <c r="U328" s="60"/>
    </row>
    <row r="329" spans="2:21">
      <c r="B329" s="64" t="s">
        <v>14</v>
      </c>
      <c r="C329" s="65"/>
      <c r="D329" s="57" t="s">
        <v>138</v>
      </c>
      <c r="E329" s="60"/>
      <c r="F329" s="60"/>
      <c r="G329" s="60"/>
      <c r="H329" s="60"/>
      <c r="I329" s="60"/>
      <c r="J329" s="410"/>
      <c r="K329" s="276"/>
      <c r="L329" s="276"/>
      <c r="M329" s="276"/>
      <c r="N329" s="276"/>
      <c r="O329" s="60"/>
      <c r="P329" s="60"/>
      <c r="Q329" s="60"/>
      <c r="R329" s="60"/>
      <c r="S329" s="60"/>
      <c r="T329" s="60"/>
      <c r="U329" s="60"/>
    </row>
    <row r="330" spans="2:21">
      <c r="B330" s="64"/>
      <c r="C330" s="65"/>
      <c r="D330" s="57"/>
      <c r="E330" s="60"/>
      <c r="F330" s="60"/>
      <c r="G330" s="60"/>
      <c r="H330" s="60"/>
      <c r="I330" s="60"/>
      <c r="J330" s="410"/>
      <c r="K330" s="276"/>
      <c r="L330" s="276"/>
      <c r="M330" s="276"/>
      <c r="N330" s="276"/>
      <c r="O330" s="60"/>
      <c r="P330" s="60"/>
      <c r="Q330" s="60"/>
      <c r="R330" s="60"/>
      <c r="S330" s="60"/>
      <c r="T330" s="60"/>
      <c r="U330" s="60"/>
    </row>
    <row r="331" spans="2:21">
      <c r="B331" s="343" t="s">
        <v>55</v>
      </c>
      <c r="C331" s="100"/>
      <c r="D331" s="57"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31" s="339"/>
      <c r="M331" s="276"/>
      <c r="N331" s="276"/>
      <c r="O331" s="60"/>
      <c r="P331" s="60"/>
      <c r="Q331" s="60"/>
      <c r="R331" s="60"/>
      <c r="S331" s="60"/>
      <c r="T331" s="60"/>
      <c r="U331" s="60"/>
    </row>
    <row r="332" spans="2:21">
      <c r="D332" s="57" t="s">
        <v>1008</v>
      </c>
      <c r="J332" s="339"/>
      <c r="M332" s="276"/>
      <c r="N332" s="276"/>
      <c r="O332" s="60"/>
      <c r="P332" s="60"/>
      <c r="Q332" s="60"/>
      <c r="R332" s="60"/>
      <c r="S332" s="60"/>
      <c r="T332" s="60"/>
      <c r="U332" s="60"/>
    </row>
    <row r="333" spans="2:21">
      <c r="D333" s="57" t="s">
        <v>1009</v>
      </c>
      <c r="J333" s="339"/>
      <c r="M333" s="276"/>
      <c r="N333" s="276"/>
      <c r="O333" s="60"/>
      <c r="P333" s="60"/>
      <c r="Q333" s="60"/>
      <c r="R333" s="60"/>
      <c r="S333" s="60"/>
      <c r="T333" s="60"/>
      <c r="U333" s="60"/>
    </row>
    <row r="334" spans="2:21">
      <c r="D334" s="57" t="s">
        <v>948</v>
      </c>
      <c r="J334" s="339"/>
      <c r="M334" s="276"/>
      <c r="N334" s="276"/>
      <c r="O334" s="60"/>
      <c r="P334" s="60"/>
      <c r="Q334" s="60"/>
      <c r="R334" s="60"/>
      <c r="S334" s="60"/>
      <c r="T334" s="60"/>
      <c r="U334" s="60"/>
    </row>
    <row r="335" spans="2:21" ht="45" customHeight="1">
      <c r="D335" s="2180" t="s">
        <v>607</v>
      </c>
      <c r="E335" s="2180"/>
      <c r="F335" s="2180"/>
      <c r="G335" s="2180"/>
      <c r="H335" s="2180"/>
      <c r="I335" s="2180"/>
      <c r="J335" s="2180"/>
      <c r="M335" s="276"/>
      <c r="N335" s="276"/>
      <c r="O335" s="60"/>
      <c r="P335" s="60"/>
      <c r="Q335" s="60"/>
      <c r="R335" s="60"/>
      <c r="S335" s="60"/>
      <c r="T335" s="60"/>
      <c r="U335" s="60"/>
    </row>
    <row r="336" spans="2:21">
      <c r="D336" s="57"/>
      <c r="J336" s="339"/>
      <c r="M336" s="276"/>
      <c r="N336" s="276"/>
      <c r="O336" s="60"/>
      <c r="P336" s="60"/>
      <c r="Q336" s="60"/>
      <c r="R336" s="60"/>
      <c r="S336" s="60"/>
      <c r="T336" s="60"/>
      <c r="U336" s="60"/>
    </row>
    <row r="337" spans="2:21">
      <c r="B337" s="64" t="s">
        <v>652</v>
      </c>
      <c r="C337" s="65"/>
      <c r="D337" s="47" t="s">
        <v>730</v>
      </c>
      <c r="M337" s="276"/>
      <c r="N337" s="276"/>
      <c r="O337" s="60"/>
      <c r="P337" s="60"/>
      <c r="Q337" s="60"/>
      <c r="R337" s="60"/>
      <c r="S337" s="60"/>
      <c r="T337" s="60"/>
      <c r="U337" s="60"/>
    </row>
    <row r="338" spans="2:21">
      <c r="B338" s="64"/>
      <c r="C338" s="65"/>
      <c r="M338" s="276"/>
      <c r="N338" s="276"/>
      <c r="O338" s="60"/>
      <c r="P338" s="60"/>
      <c r="Q338" s="60"/>
      <c r="R338" s="60"/>
      <c r="S338" s="60"/>
      <c r="T338" s="60"/>
      <c r="U338" s="60"/>
    </row>
    <row r="339" spans="2:21" ht="33.75" customHeight="1">
      <c r="B339" s="413" t="s">
        <v>731</v>
      </c>
      <c r="C339" s="414"/>
      <c r="D339" s="2171" t="s">
        <v>761</v>
      </c>
      <c r="E339" s="2171"/>
      <c r="F339" s="2171"/>
      <c r="G339" s="2171"/>
      <c r="H339" s="2171"/>
      <c r="I339" s="2171"/>
      <c r="J339" s="2171"/>
      <c r="M339" s="276"/>
      <c r="N339" s="276"/>
      <c r="O339" s="60"/>
      <c r="P339" s="60"/>
      <c r="Q339" s="60"/>
      <c r="R339" s="60"/>
      <c r="S339" s="60"/>
      <c r="T339" s="60"/>
      <c r="U339" s="60"/>
    </row>
    <row r="340" spans="2:21" ht="51" customHeight="1">
      <c r="B340" s="413" t="s">
        <v>908</v>
      </c>
      <c r="C340" s="414"/>
      <c r="D340" s="2170" t="s">
        <v>909</v>
      </c>
      <c r="E340" s="2170"/>
      <c r="F340" s="2170"/>
      <c r="G340" s="2170"/>
      <c r="H340" s="2170"/>
      <c r="I340" s="2170"/>
      <c r="J340" s="2170"/>
      <c r="M340" s="276"/>
      <c r="N340" s="276"/>
      <c r="O340" s="60"/>
      <c r="P340" s="60"/>
      <c r="Q340" s="60"/>
      <c r="R340" s="60"/>
      <c r="S340" s="60"/>
      <c r="T340" s="60"/>
      <c r="U340" s="60"/>
    </row>
    <row r="341" spans="2:21" ht="52.5" customHeight="1">
      <c r="B341" s="413"/>
      <c r="C341" s="414"/>
      <c r="D341" s="2170"/>
      <c r="E341" s="2170"/>
      <c r="F341" s="2170"/>
      <c r="G341" s="2170"/>
      <c r="H341" s="2170"/>
      <c r="I341" s="2170"/>
      <c r="J341" s="2170"/>
      <c r="M341" s="276"/>
      <c r="N341" s="276"/>
      <c r="O341" s="60"/>
      <c r="P341" s="60"/>
      <c r="Q341" s="60"/>
      <c r="R341" s="60"/>
      <c r="S341" s="60"/>
      <c r="T341" s="60"/>
      <c r="U341" s="60"/>
    </row>
    <row r="342" spans="2:21">
      <c r="B342" s="276"/>
      <c r="C342" s="276"/>
      <c r="D342" s="276"/>
      <c r="E342" s="276"/>
      <c r="F342" s="276"/>
      <c r="G342" s="276"/>
      <c r="H342" s="276"/>
      <c r="M342" s="276"/>
      <c r="N342" s="276"/>
      <c r="O342" s="60"/>
      <c r="P342" s="60"/>
      <c r="Q342" s="60"/>
      <c r="R342" s="60"/>
      <c r="S342" s="60"/>
      <c r="T342" s="60"/>
      <c r="U342" s="60"/>
    </row>
    <row r="343" spans="2:21">
      <c r="B343" s="276"/>
      <c r="C343" s="276"/>
      <c r="D343" s="276"/>
      <c r="E343" s="276"/>
      <c r="F343" s="276"/>
      <c r="G343" s="276"/>
      <c r="H343" s="276"/>
      <c r="M343" s="276"/>
      <c r="N343" s="276"/>
      <c r="O343" s="60"/>
      <c r="P343" s="60"/>
      <c r="Q343" s="60"/>
      <c r="R343" s="60"/>
      <c r="S343" s="60"/>
      <c r="T343" s="60"/>
      <c r="U343" s="60"/>
    </row>
    <row r="344" spans="2:21">
      <c r="B344" s="276"/>
      <c r="C344" s="276"/>
      <c r="D344" s="276"/>
      <c r="E344" s="276"/>
      <c r="F344" s="276"/>
      <c r="G344" s="276"/>
      <c r="H344" s="276"/>
      <c r="M344" s="276"/>
      <c r="N344" s="276"/>
      <c r="O344" s="60"/>
      <c r="P344" s="60"/>
      <c r="Q344" s="60"/>
      <c r="R344" s="60"/>
      <c r="S344" s="60"/>
      <c r="T344" s="60"/>
      <c r="U344" s="60"/>
    </row>
    <row r="345" spans="2:21">
      <c r="B345" s="276"/>
      <c r="C345" s="276"/>
      <c r="D345" s="276"/>
      <c r="E345" s="276"/>
      <c r="F345" s="276"/>
      <c r="G345" s="276"/>
      <c r="H345" s="276"/>
      <c r="M345" s="276"/>
      <c r="N345" s="276"/>
      <c r="O345" s="60"/>
      <c r="P345" s="60"/>
      <c r="Q345" s="60"/>
      <c r="R345" s="60"/>
      <c r="S345" s="60"/>
      <c r="T345" s="60"/>
      <c r="U345" s="60"/>
    </row>
    <row r="346" spans="2:21">
      <c r="B346" s="276"/>
      <c r="C346" s="276"/>
      <c r="D346" s="276"/>
      <c r="E346" s="276"/>
      <c r="F346" s="276"/>
      <c r="G346" s="276"/>
      <c r="H346" s="276"/>
      <c r="M346" s="276"/>
      <c r="N346" s="276"/>
      <c r="O346" s="60"/>
      <c r="P346" s="60"/>
      <c r="Q346" s="60"/>
      <c r="R346" s="60"/>
      <c r="S346" s="60"/>
      <c r="T346" s="60"/>
      <c r="U346" s="60"/>
    </row>
    <row r="347" spans="2:21">
      <c r="B347" s="276"/>
      <c r="C347" s="276"/>
      <c r="D347" s="276"/>
      <c r="E347" s="276"/>
      <c r="F347" s="276"/>
      <c r="G347" s="276"/>
      <c r="H347" s="276"/>
      <c r="M347" s="276"/>
      <c r="N347" s="276"/>
      <c r="O347" s="60"/>
      <c r="P347" s="60"/>
      <c r="Q347" s="60"/>
      <c r="R347" s="60"/>
      <c r="S347" s="60"/>
      <c r="T347" s="60"/>
      <c r="U347" s="60"/>
    </row>
    <row r="348" spans="2:21">
      <c r="B348" s="276"/>
      <c r="C348" s="276"/>
      <c r="D348" s="276"/>
      <c r="E348" s="276"/>
      <c r="F348" s="276"/>
      <c r="G348" s="276"/>
      <c r="H348" s="276"/>
      <c r="M348" s="276"/>
      <c r="N348" s="276"/>
      <c r="O348" s="60"/>
      <c r="P348" s="60"/>
      <c r="Q348" s="60"/>
      <c r="R348" s="60"/>
      <c r="S348" s="60"/>
      <c r="T348" s="60"/>
      <c r="U348" s="60"/>
    </row>
    <row r="349" spans="2:21">
      <c r="B349" s="276"/>
      <c r="C349" s="276"/>
      <c r="D349" s="276"/>
      <c r="E349" s="276"/>
      <c r="F349" s="276"/>
      <c r="G349" s="276"/>
      <c r="H349" s="276"/>
      <c r="M349" s="276"/>
      <c r="N349" s="276"/>
      <c r="O349" s="60"/>
      <c r="P349" s="60"/>
      <c r="Q349" s="60"/>
      <c r="R349" s="60"/>
      <c r="S349" s="60"/>
      <c r="T349" s="60"/>
      <c r="U349" s="60"/>
    </row>
    <row r="350" spans="2:21">
      <c r="B350" s="64"/>
      <c r="C350" s="65"/>
      <c r="M350" s="276"/>
      <c r="N350" s="276"/>
      <c r="O350" s="60"/>
      <c r="P350" s="60"/>
      <c r="Q350" s="60"/>
      <c r="R350" s="60"/>
      <c r="S350" s="60"/>
      <c r="T350" s="60"/>
      <c r="U350" s="60"/>
    </row>
    <row r="351" spans="2:21">
      <c r="B351" s="53"/>
      <c r="M351" s="276"/>
      <c r="N351" s="276"/>
      <c r="O351" s="60"/>
      <c r="P351" s="60"/>
      <c r="Q351" s="60"/>
      <c r="R351" s="60"/>
      <c r="S351" s="60"/>
      <c r="T351" s="60"/>
      <c r="U351" s="60"/>
    </row>
    <row r="352" spans="2:21">
      <c r="B352" s="53"/>
      <c r="M352" s="276"/>
      <c r="N352" s="276"/>
      <c r="O352" s="60"/>
      <c r="P352" s="60"/>
      <c r="Q352" s="60"/>
      <c r="R352" s="60"/>
      <c r="S352" s="60"/>
      <c r="T352" s="60"/>
      <c r="U352" s="60"/>
    </row>
    <row r="353" spans="2:21">
      <c r="B353" s="53"/>
      <c r="M353" s="276"/>
      <c r="N353" s="276"/>
      <c r="O353" s="60"/>
      <c r="P353" s="60"/>
      <c r="Q353" s="60"/>
      <c r="R353" s="60"/>
      <c r="S353" s="60"/>
      <c r="T353" s="60"/>
      <c r="U353" s="60"/>
    </row>
    <row r="354" spans="2:21">
      <c r="B354" s="53"/>
      <c r="H354" s="60"/>
      <c r="I354" s="60"/>
      <c r="J354" s="60"/>
      <c r="K354" s="60"/>
      <c r="L354" s="60"/>
      <c r="M354" s="276"/>
      <c r="N354" s="276"/>
      <c r="O354" s="60"/>
      <c r="P354" s="60"/>
      <c r="Q354" s="60"/>
      <c r="R354" s="60"/>
      <c r="S354" s="60"/>
      <c r="T354" s="60"/>
      <c r="U354" s="60"/>
    </row>
    <row r="355" spans="2:21">
      <c r="B355" s="53"/>
      <c r="H355" s="60"/>
      <c r="K355" s="60"/>
      <c r="L355" s="60"/>
      <c r="M355" s="276"/>
      <c r="N355" s="276"/>
      <c r="O355" s="60"/>
      <c r="P355" s="60"/>
      <c r="Q355" s="60"/>
      <c r="R355" s="60"/>
      <c r="S355" s="60"/>
      <c r="T355" s="60"/>
      <c r="U355" s="60"/>
    </row>
    <row r="356" spans="2:21">
      <c r="B356" s="53"/>
      <c r="H356" s="60"/>
      <c r="I356" s="60"/>
      <c r="J356" s="415"/>
      <c r="K356" s="60"/>
      <c r="L356" s="60"/>
      <c r="M356" s="276"/>
      <c r="N356" s="276"/>
      <c r="O356" s="60"/>
      <c r="P356" s="60"/>
      <c r="Q356" s="60"/>
      <c r="R356" s="60"/>
      <c r="S356" s="60"/>
      <c r="T356" s="60"/>
      <c r="U356" s="60"/>
    </row>
    <row r="357" spans="2:21">
      <c r="B357" s="53"/>
      <c r="H357" s="60"/>
      <c r="I357" s="65"/>
      <c r="J357" s="415"/>
      <c r="K357" s="60"/>
      <c r="L357" s="60"/>
      <c r="M357" s="276"/>
      <c r="N357" s="276"/>
      <c r="O357" s="60"/>
      <c r="P357" s="60"/>
      <c r="Q357" s="60"/>
      <c r="R357" s="60"/>
      <c r="S357" s="60"/>
      <c r="T357" s="60"/>
      <c r="U357" s="60"/>
    </row>
    <row r="358" spans="2:21">
      <c r="B358" s="53"/>
      <c r="H358" s="60"/>
      <c r="I358" s="65"/>
      <c r="J358" s="415"/>
      <c r="K358" s="60"/>
      <c r="L358" s="60"/>
      <c r="M358" s="276"/>
      <c r="N358" s="276"/>
      <c r="O358" s="60"/>
      <c r="P358" s="60"/>
      <c r="Q358" s="60"/>
      <c r="R358" s="60"/>
      <c r="S358" s="60"/>
      <c r="T358" s="60"/>
      <c r="U358" s="60"/>
    </row>
    <row r="359" spans="2:21">
      <c r="B359" s="53"/>
      <c r="H359" s="60"/>
      <c r="I359" s="65"/>
      <c r="J359" s="415"/>
      <c r="K359" s="60"/>
      <c r="L359" s="60"/>
      <c r="M359" s="276"/>
      <c r="N359" s="276"/>
      <c r="O359" s="60"/>
      <c r="P359" s="60"/>
      <c r="Q359" s="60"/>
      <c r="R359" s="60"/>
      <c r="S359" s="60"/>
      <c r="T359" s="60"/>
      <c r="U359" s="60"/>
    </row>
    <row r="360" spans="2:21">
      <c r="B360" s="106"/>
      <c r="C360" s="60"/>
      <c r="D360" s="60"/>
      <c r="E360" s="60"/>
      <c r="F360" s="60"/>
      <c r="G360" s="60"/>
      <c r="H360" s="60"/>
      <c r="I360" s="65"/>
      <c r="J360" s="416"/>
      <c r="K360" s="60"/>
      <c r="L360" s="60"/>
      <c r="M360" s="276"/>
      <c r="N360" s="276"/>
      <c r="O360" s="60"/>
      <c r="P360" s="60"/>
      <c r="Q360" s="60"/>
      <c r="R360" s="60"/>
      <c r="S360" s="60"/>
      <c r="T360" s="60"/>
      <c r="U360" s="60"/>
    </row>
    <row r="361" spans="2:21">
      <c r="B361" s="106"/>
      <c r="C361" s="60"/>
      <c r="D361" s="60"/>
      <c r="E361" s="60"/>
      <c r="F361" s="60"/>
      <c r="G361" s="60"/>
      <c r="H361" s="60"/>
      <c r="I361" s="65"/>
      <c r="J361" s="415"/>
      <c r="K361" s="60"/>
      <c r="L361" s="60"/>
      <c r="M361" s="276"/>
      <c r="N361" s="276"/>
      <c r="O361" s="60"/>
      <c r="P361" s="60"/>
      <c r="Q361" s="60"/>
      <c r="R361" s="60"/>
      <c r="S361" s="60"/>
      <c r="T361" s="60"/>
      <c r="U361" s="60"/>
    </row>
    <row r="362" spans="2:21">
      <c r="B362" s="106"/>
      <c r="C362" s="60"/>
      <c r="D362" s="60"/>
      <c r="E362" s="60"/>
      <c r="F362" s="60"/>
      <c r="G362" s="60"/>
      <c r="H362" s="60"/>
      <c r="I362" s="65"/>
      <c r="J362" s="415"/>
      <c r="K362" s="60"/>
      <c r="L362" s="60"/>
      <c r="M362" s="276"/>
      <c r="N362" s="276"/>
      <c r="O362" s="60"/>
      <c r="P362" s="60"/>
      <c r="Q362" s="60"/>
      <c r="R362" s="60"/>
      <c r="S362" s="60"/>
      <c r="T362" s="60"/>
      <c r="U362" s="60"/>
    </row>
    <row r="363" spans="2:21">
      <c r="I363" s="65"/>
      <c r="J363" s="415"/>
      <c r="M363" s="276"/>
      <c r="N363" s="276"/>
    </row>
    <row r="364" spans="2:21">
      <c r="I364" s="65"/>
      <c r="J364" s="415"/>
      <c r="M364" s="276"/>
      <c r="N364" s="276"/>
    </row>
    <row r="365" spans="2:21">
      <c r="M365" s="276"/>
      <c r="N365" s="276"/>
    </row>
    <row r="366" spans="2:21">
      <c r="M366" s="276"/>
      <c r="N366" s="276"/>
    </row>
    <row r="367" spans="2:21">
      <c r="M367" s="276"/>
      <c r="N367" s="276"/>
    </row>
    <row r="368" spans="2:21">
      <c r="M368" s="276"/>
      <c r="N368" s="276"/>
    </row>
    <row r="369" spans="13:14">
      <c r="M369" s="276"/>
      <c r="N369" s="276"/>
    </row>
    <row r="370" spans="13:14">
      <c r="M370" s="276"/>
      <c r="N370" s="276"/>
    </row>
    <row r="371" spans="13:14">
      <c r="M371" s="276"/>
      <c r="N371" s="276"/>
    </row>
    <row r="372" spans="13:14">
      <c r="M372" s="276"/>
      <c r="N372" s="276"/>
    </row>
    <row r="373" spans="13:14">
      <c r="M373" s="276"/>
      <c r="N373" s="276"/>
    </row>
    <row r="374" spans="13:14">
      <c r="M374" s="276"/>
      <c r="N374" s="276"/>
    </row>
    <row r="375" spans="13:14">
      <c r="M375" s="276"/>
      <c r="N375" s="276"/>
    </row>
    <row r="376" spans="13:14">
      <c r="M376" s="276"/>
      <c r="N376" s="276"/>
    </row>
    <row r="377" spans="13:14">
      <c r="M377" s="276"/>
      <c r="N377" s="276"/>
    </row>
    <row r="378" spans="13:14">
      <c r="M378" s="276"/>
      <c r="N378" s="276"/>
    </row>
    <row r="379" spans="13:14">
      <c r="M379" s="276"/>
      <c r="N379" s="276"/>
    </row>
    <row r="380" spans="13:14">
      <c r="M380" s="276"/>
      <c r="N380" s="276"/>
    </row>
    <row r="381" spans="13:14">
      <c r="M381" s="276"/>
      <c r="N381" s="276"/>
    </row>
    <row r="382" spans="13:14">
      <c r="M382" s="276"/>
      <c r="N382" s="276"/>
    </row>
    <row r="383" spans="13:14">
      <c r="M383" s="276"/>
      <c r="N383" s="276"/>
    </row>
    <row r="384" spans="13:14">
      <c r="M384" s="276"/>
      <c r="N384" s="276"/>
    </row>
    <row r="385" spans="13:14">
      <c r="M385" s="276"/>
      <c r="N385" s="276"/>
    </row>
    <row r="386" spans="13:14">
      <c r="M386" s="276"/>
      <c r="N386" s="276"/>
    </row>
    <row r="387" spans="13:14">
      <c r="M387" s="276"/>
      <c r="N387" s="276"/>
    </row>
    <row r="388" spans="13:14">
      <c r="M388" s="276"/>
      <c r="N388" s="276"/>
    </row>
    <row r="389" spans="13:14">
      <c r="M389" s="276"/>
      <c r="N389" s="276"/>
    </row>
    <row r="390" spans="13:14">
      <c r="M390" s="276"/>
      <c r="N390" s="276"/>
    </row>
    <row r="391" spans="13:14">
      <c r="M391" s="276"/>
      <c r="N391" s="276"/>
    </row>
    <row r="392" spans="13:14">
      <c r="M392" s="276"/>
      <c r="N392" s="276"/>
    </row>
    <row r="393" spans="13:14">
      <c r="M393" s="276"/>
      <c r="N393" s="276"/>
    </row>
    <row r="394" spans="13:14">
      <c r="M394" s="276"/>
      <c r="N394" s="276"/>
    </row>
    <row r="395" spans="13:14">
      <c r="M395" s="276"/>
      <c r="N395" s="276"/>
    </row>
    <row r="396" spans="13:14">
      <c r="M396" s="276"/>
      <c r="N396" s="276"/>
    </row>
    <row r="397" spans="13:14">
      <c r="M397" s="276"/>
      <c r="N397" s="276"/>
    </row>
    <row r="398" spans="13:14">
      <c r="M398" s="276"/>
      <c r="N398" s="276"/>
    </row>
    <row r="399" spans="13:14">
      <c r="M399" s="276"/>
      <c r="N399" s="276"/>
    </row>
    <row r="400" spans="13:14">
      <c r="M400" s="276"/>
      <c r="N400" s="276"/>
    </row>
    <row r="401" spans="13:14">
      <c r="M401" s="276"/>
      <c r="N401" s="276"/>
    </row>
    <row r="402" spans="13:14">
      <c r="M402" s="276"/>
      <c r="N402" s="276"/>
    </row>
    <row r="403" spans="13:14">
      <c r="M403" s="276"/>
      <c r="N403" s="276"/>
    </row>
    <row r="404" spans="13:14">
      <c r="M404" s="276"/>
      <c r="N404" s="276"/>
    </row>
    <row r="405" spans="13:14">
      <c r="M405" s="276"/>
      <c r="N405" s="276"/>
    </row>
    <row r="406" spans="13:14">
      <c r="M406" s="276"/>
      <c r="N406" s="276"/>
    </row>
    <row r="407" spans="13:14">
      <c r="M407" s="276"/>
      <c r="N407" s="276"/>
    </row>
    <row r="408" spans="13:14">
      <c r="M408" s="276"/>
      <c r="N408" s="276"/>
    </row>
    <row r="409" spans="13:14">
      <c r="M409" s="276"/>
      <c r="N409" s="276"/>
    </row>
    <row r="410" spans="13:14">
      <c r="M410" s="276"/>
      <c r="N410" s="276"/>
    </row>
    <row r="411" spans="13:14">
      <c r="M411" s="276"/>
      <c r="N411" s="276"/>
    </row>
    <row r="412" spans="13:14">
      <c r="M412" s="276"/>
      <c r="N412" s="276"/>
    </row>
    <row r="413" spans="13:14">
      <c r="M413" s="276"/>
      <c r="N413" s="276"/>
    </row>
    <row r="414" spans="13:14">
      <c r="M414" s="276"/>
      <c r="N414" s="276"/>
    </row>
    <row r="415" spans="13:14">
      <c r="M415" s="276"/>
      <c r="N415" s="276"/>
    </row>
    <row r="416" spans="13:14">
      <c r="M416" s="276"/>
      <c r="N416" s="276"/>
    </row>
    <row r="417" spans="13:14">
      <c r="M417" s="276"/>
      <c r="N417" s="276"/>
    </row>
    <row r="418" spans="13:14">
      <c r="M418" s="276"/>
      <c r="N418" s="276"/>
    </row>
    <row r="419" spans="13:14">
      <c r="M419" s="276"/>
      <c r="N419" s="276"/>
    </row>
    <row r="420" spans="13:14">
      <c r="M420" s="276"/>
      <c r="N420" s="276"/>
    </row>
    <row r="421" spans="13:14">
      <c r="M421" s="276"/>
      <c r="N421" s="276"/>
    </row>
    <row r="422" spans="13:14">
      <c r="M422" s="276"/>
      <c r="N422" s="276"/>
    </row>
    <row r="423" spans="13:14">
      <c r="M423" s="276"/>
      <c r="N423" s="276"/>
    </row>
    <row r="424" spans="13:14">
      <c r="M424" s="276"/>
      <c r="N424" s="276"/>
    </row>
    <row r="425" spans="13:14">
      <c r="M425" s="276"/>
      <c r="N425" s="276"/>
    </row>
    <row r="426" spans="13:14">
      <c r="M426" s="276"/>
      <c r="N426" s="276"/>
    </row>
    <row r="427" spans="13:14">
      <c r="M427" s="276"/>
      <c r="N427" s="276"/>
    </row>
    <row r="428" spans="13:14">
      <c r="M428" s="276"/>
      <c r="N428" s="276"/>
    </row>
    <row r="429" spans="13:14">
      <c r="M429" s="276"/>
      <c r="N429" s="276"/>
    </row>
    <row r="430" spans="13:14">
      <c r="M430" s="276"/>
      <c r="N430" s="276"/>
    </row>
    <row r="431" spans="13:14">
      <c r="M431" s="276"/>
      <c r="N431" s="276"/>
    </row>
    <row r="432" spans="13:14">
      <c r="M432" s="276"/>
      <c r="N432" s="276"/>
    </row>
    <row r="433" spans="13:14">
      <c r="M433" s="276"/>
      <c r="N433" s="276"/>
    </row>
    <row r="434" spans="13:14">
      <c r="M434" s="276"/>
      <c r="N434" s="276"/>
    </row>
    <row r="435" spans="13:14">
      <c r="M435" s="276"/>
      <c r="N435" s="276"/>
    </row>
    <row r="436" spans="13:14">
      <c r="M436" s="276"/>
      <c r="N436" s="276"/>
    </row>
    <row r="437" spans="13:14">
      <c r="M437" s="276"/>
      <c r="N437" s="276"/>
    </row>
    <row r="438" spans="13:14">
      <c r="M438" s="276"/>
      <c r="N438" s="276"/>
    </row>
    <row r="439" spans="13:14">
      <c r="M439" s="276"/>
      <c r="N439" s="276"/>
    </row>
    <row r="440" spans="13:14">
      <c r="M440" s="276"/>
      <c r="N440" s="276"/>
    </row>
    <row r="441" spans="13:14">
      <c r="M441" s="276"/>
      <c r="N441" s="276"/>
    </row>
    <row r="442" spans="13:14">
      <c r="M442" s="276"/>
      <c r="N442" s="276"/>
    </row>
    <row r="443" spans="13:14">
      <c r="M443" s="276"/>
      <c r="N443" s="276"/>
    </row>
    <row r="444" spans="13:14">
      <c r="M444" s="276"/>
      <c r="N444" s="276"/>
    </row>
    <row r="445" spans="13:14">
      <c r="M445" s="276"/>
      <c r="N445" s="276"/>
    </row>
    <row r="446" spans="13:14">
      <c r="M446" s="276"/>
      <c r="N446" s="276"/>
    </row>
    <row r="447" spans="13:14">
      <c r="M447" s="276"/>
      <c r="N447" s="276"/>
    </row>
    <row r="448" spans="13:14">
      <c r="M448" s="276"/>
      <c r="N448" s="276"/>
    </row>
    <row r="449" spans="13:14">
      <c r="M449" s="276"/>
      <c r="N449" s="276"/>
    </row>
    <row r="450" spans="13:14">
      <c r="M450" s="276"/>
      <c r="N450" s="276"/>
    </row>
    <row r="451" spans="13:14">
      <c r="M451" s="276"/>
      <c r="N451" s="276"/>
    </row>
    <row r="452" spans="13:14">
      <c r="M452" s="276"/>
      <c r="N452" s="276"/>
    </row>
    <row r="453" spans="13:14">
      <c r="M453" s="276"/>
      <c r="N453" s="276"/>
    </row>
    <row r="454" spans="13:14">
      <c r="M454" s="276"/>
      <c r="N454" s="276"/>
    </row>
    <row r="455" spans="13:14">
      <c r="M455" s="276"/>
      <c r="N455" s="276"/>
    </row>
    <row r="456" spans="13:14">
      <c r="M456" s="276"/>
      <c r="N456" s="276"/>
    </row>
    <row r="457" spans="13:14">
      <c r="M457" s="276"/>
      <c r="N457" s="276"/>
    </row>
    <row r="458" spans="13:14">
      <c r="M458" s="276"/>
      <c r="N458" s="276"/>
    </row>
    <row r="459" spans="13:14">
      <c r="M459" s="276"/>
      <c r="N459" s="276"/>
    </row>
    <row r="460" spans="13:14">
      <c r="M460" s="276"/>
      <c r="N460" s="276"/>
    </row>
    <row r="461" spans="13:14">
      <c r="M461" s="276"/>
      <c r="N461" s="276"/>
    </row>
    <row r="462" spans="13:14">
      <c r="M462" s="276"/>
      <c r="N462" s="276"/>
    </row>
    <row r="463" spans="13:14">
      <c r="M463" s="276"/>
      <c r="N463" s="276"/>
    </row>
    <row r="464" spans="13:14">
      <c r="M464" s="276"/>
      <c r="N464" s="276"/>
    </row>
    <row r="465" spans="13:14">
      <c r="M465" s="276"/>
      <c r="N465" s="276"/>
    </row>
    <row r="466" spans="13:14">
      <c r="M466" s="276"/>
      <c r="N466" s="276"/>
    </row>
    <row r="467" spans="13:14">
      <c r="M467" s="276"/>
      <c r="N467" s="276"/>
    </row>
    <row r="468" spans="13:14">
      <c r="M468" s="276"/>
      <c r="N468" s="276"/>
    </row>
    <row r="469" spans="13:14">
      <c r="M469" s="276"/>
      <c r="N469" s="276"/>
    </row>
    <row r="470" spans="13:14">
      <c r="M470" s="276"/>
      <c r="N470" s="276"/>
    </row>
    <row r="471" spans="13:14">
      <c r="M471" s="276"/>
      <c r="N471" s="276"/>
    </row>
    <row r="472" spans="13:14">
      <c r="M472" s="276"/>
      <c r="N472" s="276"/>
    </row>
    <row r="473" spans="13:14">
      <c r="M473" s="276"/>
      <c r="N473" s="276"/>
    </row>
    <row r="474" spans="13:14">
      <c r="M474" s="276"/>
      <c r="N474" s="276"/>
    </row>
    <row r="475" spans="13:14">
      <c r="M475" s="276"/>
      <c r="N475" s="276"/>
    </row>
    <row r="476" spans="13:14">
      <c r="M476" s="276"/>
      <c r="N476" s="276"/>
    </row>
    <row r="477" spans="13:14">
      <c r="M477" s="276"/>
      <c r="N477" s="276"/>
    </row>
    <row r="478" spans="13:14">
      <c r="M478" s="276"/>
      <c r="N478" s="276"/>
    </row>
    <row r="479" spans="13:14">
      <c r="M479" s="276"/>
      <c r="N479" s="276"/>
    </row>
    <row r="480" spans="13:14">
      <c r="M480" s="276"/>
      <c r="N480" s="276"/>
    </row>
    <row r="481" spans="13:14">
      <c r="M481" s="276"/>
      <c r="N481" s="276"/>
    </row>
    <row r="482" spans="13:14">
      <c r="M482" s="276"/>
      <c r="N482" s="276"/>
    </row>
    <row r="483" spans="13:14">
      <c r="M483" s="276"/>
      <c r="N483" s="276"/>
    </row>
    <row r="484" spans="13:14">
      <c r="M484" s="276"/>
      <c r="N484" s="276"/>
    </row>
    <row r="485" spans="13:14">
      <c r="M485" s="276"/>
      <c r="N485" s="276"/>
    </row>
    <row r="486" spans="13:14">
      <c r="M486" s="276"/>
      <c r="N486" s="276"/>
    </row>
    <row r="487" spans="13:14">
      <c r="M487" s="276"/>
      <c r="N487" s="276"/>
    </row>
    <row r="488" spans="13:14">
      <c r="M488" s="276"/>
      <c r="N488" s="276"/>
    </row>
    <row r="489" spans="13:14">
      <c r="M489" s="276"/>
      <c r="N489" s="276"/>
    </row>
    <row r="490" spans="13:14">
      <c r="M490" s="276"/>
      <c r="N490" s="276"/>
    </row>
    <row r="491" spans="13:14">
      <c r="M491" s="276"/>
      <c r="N491" s="276"/>
    </row>
    <row r="492" spans="13:14">
      <c r="M492" s="276"/>
      <c r="N492" s="276"/>
    </row>
    <row r="493" spans="13:14">
      <c r="M493" s="276"/>
      <c r="N493" s="276"/>
    </row>
    <row r="494" spans="13:14">
      <c r="M494" s="276"/>
      <c r="N494" s="276"/>
    </row>
    <row r="495" spans="13:14">
      <c r="M495" s="276"/>
      <c r="N495" s="276"/>
    </row>
    <row r="496" spans="13:14">
      <c r="M496" s="276"/>
      <c r="N496" s="276"/>
    </row>
    <row r="497" spans="13:14">
      <c r="M497" s="276"/>
      <c r="N497" s="276"/>
    </row>
    <row r="498" spans="13:14">
      <c r="M498" s="276"/>
      <c r="N498" s="276"/>
    </row>
    <row r="499" spans="13:14">
      <c r="M499" s="276"/>
      <c r="N499" s="276"/>
    </row>
    <row r="500" spans="13:14">
      <c r="M500" s="276"/>
      <c r="N500" s="276"/>
    </row>
    <row r="501" spans="13:14">
      <c r="M501" s="276"/>
      <c r="N501" s="276"/>
    </row>
    <row r="502" spans="13:14">
      <c r="M502" s="276"/>
      <c r="N502" s="276"/>
    </row>
    <row r="503" spans="13:14">
      <c r="M503" s="276"/>
      <c r="N503" s="276"/>
    </row>
    <row r="504" spans="13:14">
      <c r="M504" s="276"/>
      <c r="N504" s="276"/>
    </row>
    <row r="505" spans="13:14">
      <c r="M505" s="276"/>
      <c r="N505" s="276"/>
    </row>
    <row r="506" spans="13:14">
      <c r="M506" s="276"/>
      <c r="N506" s="276"/>
    </row>
    <row r="507" spans="13:14">
      <c r="M507" s="276"/>
      <c r="N507" s="276"/>
    </row>
    <row r="508" spans="13:14">
      <c r="M508" s="276"/>
      <c r="N508" s="276"/>
    </row>
    <row r="509" spans="13:14">
      <c r="M509" s="276"/>
      <c r="N509" s="276"/>
    </row>
    <row r="510" spans="13:14">
      <c r="M510" s="276"/>
      <c r="N510" s="276"/>
    </row>
    <row r="511" spans="13:14">
      <c r="M511" s="276"/>
      <c r="N511" s="276"/>
    </row>
    <row r="512" spans="13:14">
      <c r="M512" s="276"/>
      <c r="N512" s="276"/>
    </row>
    <row r="513" spans="13:14">
      <c r="M513" s="276"/>
      <c r="N513" s="276"/>
    </row>
    <row r="514" spans="13:14">
      <c r="M514" s="276"/>
      <c r="N514" s="276"/>
    </row>
    <row r="515" spans="13:14">
      <c r="M515" s="276"/>
      <c r="N515" s="276"/>
    </row>
    <row r="516" spans="13:14">
      <c r="M516" s="276"/>
      <c r="N516" s="276"/>
    </row>
    <row r="517" spans="13:14">
      <c r="M517" s="276"/>
      <c r="N517" s="276"/>
    </row>
    <row r="518" spans="13:14">
      <c r="M518" s="276"/>
      <c r="N518" s="276"/>
    </row>
    <row r="519" spans="13:14">
      <c r="M519" s="276"/>
      <c r="N519" s="276"/>
    </row>
    <row r="520" spans="13:14">
      <c r="M520" s="276"/>
      <c r="N520" s="276"/>
    </row>
  </sheetData>
  <mergeCells count="16">
    <mergeCell ref="D340:J340"/>
    <mergeCell ref="D341:J341"/>
    <mergeCell ref="D339:J339"/>
    <mergeCell ref="B20:I21"/>
    <mergeCell ref="I125:J125"/>
    <mergeCell ref="I48:J48"/>
    <mergeCell ref="I51:J51"/>
    <mergeCell ref="I122:J122"/>
    <mergeCell ref="D325:J325"/>
    <mergeCell ref="D319:J319"/>
    <mergeCell ref="D308:J308"/>
    <mergeCell ref="D306:J306"/>
    <mergeCell ref="D335:J335"/>
    <mergeCell ref="D23:E24"/>
    <mergeCell ref="D279:J280"/>
    <mergeCell ref="D295:J295"/>
  </mergeCells>
  <phoneticPr fontId="0" type="noConversion"/>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zoomScaleNormal="100" zoomScaleSheetLayoutView="70" zoomScalePageLayoutView="80" workbookViewId="0">
      <selection activeCell="C45" sqref="C45:F45"/>
    </sheetView>
  </sheetViews>
  <sheetFormatPr defaultColWidth="11.42578125" defaultRowHeight="12.75"/>
  <cols>
    <col min="1" max="1" width="10.28515625" style="464" customWidth="1"/>
    <col min="2" max="2" width="39.7109375" style="418" customWidth="1"/>
    <col min="3" max="3" width="21.28515625" style="418" customWidth="1"/>
    <col min="4" max="4" width="19.28515625" style="418" customWidth="1"/>
    <col min="5" max="5" width="20.5703125" style="418" customWidth="1"/>
    <col min="6" max="6" width="18" style="418" customWidth="1"/>
    <col min="7" max="7" width="20.28515625" style="418" customWidth="1"/>
    <col min="8" max="8" width="17.28515625" style="418" customWidth="1"/>
    <col min="9" max="9" width="16" style="418" customWidth="1"/>
    <col min="10" max="15" width="20.28515625" style="418" customWidth="1"/>
    <col min="16" max="16" width="20" style="418" customWidth="1"/>
    <col min="17" max="18" width="15.28515625" style="418" customWidth="1"/>
    <col min="19" max="16384" width="11.42578125" style="418"/>
  </cols>
  <sheetData>
    <row r="1" spans="1:16" ht="15">
      <c r="A1" s="417"/>
      <c r="G1" s="1929"/>
    </row>
    <row r="2" spans="1:16" ht="15">
      <c r="A2" s="2186" t="str">
        <f>'OKT TCOS'!F4</f>
        <v xml:space="preserve">AEP West SPP Member Transmission Companies </v>
      </c>
      <c r="B2" s="2186"/>
      <c r="C2" s="2186"/>
      <c r="D2" s="2186"/>
      <c r="E2" s="2186"/>
      <c r="F2" s="2186"/>
      <c r="G2" s="2186"/>
      <c r="H2" s="2186"/>
      <c r="I2" s="419"/>
      <c r="J2" s="419"/>
      <c r="K2" s="419"/>
      <c r="L2" s="420"/>
      <c r="M2" s="420"/>
    </row>
    <row r="3" spans="1:16" ht="15">
      <c r="A3" s="2186" t="str">
        <f>"Actual / Projected "&amp;'OKT TCOS'!$N$2&amp;" Rate Year Cost of Service Formula Rate "</f>
        <v xml:space="preserve">Actual / Projected 2022 Rate Year Cost of Service Formula Rate </v>
      </c>
      <c r="B3" s="2186"/>
      <c r="C3" s="2186"/>
      <c r="D3" s="2186"/>
      <c r="E3" s="2186"/>
      <c r="F3" s="2186"/>
      <c r="G3" s="2186"/>
      <c r="H3" s="2186"/>
      <c r="I3" s="419"/>
      <c r="J3" s="419"/>
      <c r="K3" s="419"/>
      <c r="L3" s="420"/>
      <c r="M3" s="420"/>
      <c r="N3" s="420"/>
      <c r="P3" s="421"/>
    </row>
    <row r="4" spans="1:16" ht="15.75">
      <c r="A4" s="2187" t="s">
        <v>725</v>
      </c>
      <c r="B4" s="2187"/>
      <c r="C4" s="2187"/>
      <c r="D4" s="2187"/>
      <c r="E4" s="2187"/>
      <c r="F4" s="2187"/>
      <c r="G4" s="2187"/>
      <c r="H4" s="2187"/>
      <c r="I4" s="419"/>
      <c r="J4" s="419"/>
      <c r="K4" s="419"/>
      <c r="L4" s="420"/>
      <c r="M4" s="420"/>
      <c r="N4" s="420"/>
    </row>
    <row r="5" spans="1:16" ht="15.75">
      <c r="A5" s="2188" t="str">
        <f>+'OKT TCOS'!$F$8</f>
        <v>AEP OKLAHOMA TRANSMISSION COMPANY, INC.</v>
      </c>
      <c r="B5" s="2188"/>
      <c r="C5" s="2188"/>
      <c r="D5" s="2188"/>
      <c r="E5" s="2188"/>
      <c r="F5" s="2188"/>
      <c r="G5" s="2188"/>
      <c r="H5" s="2188"/>
      <c r="I5" s="422"/>
      <c r="J5" s="422"/>
      <c r="K5" s="422"/>
      <c r="L5" s="420"/>
      <c r="M5" s="420"/>
      <c r="N5" s="420"/>
    </row>
    <row r="6" spans="1:16">
      <c r="A6" s="420"/>
      <c r="B6" s="423"/>
      <c r="C6"/>
      <c r="D6"/>
      <c r="E6"/>
      <c r="F6"/>
      <c r="G6"/>
      <c r="H6"/>
      <c r="I6" s="424"/>
      <c r="J6" s="425"/>
      <c r="L6" s="425"/>
      <c r="N6" s="425"/>
      <c r="P6" s="425"/>
    </row>
    <row r="7" spans="1:16" ht="12.75" customHeight="1">
      <c r="A7" s="420"/>
      <c r="B7" s="423"/>
      <c r="C7" s="2189" t="s">
        <v>718</v>
      </c>
      <c r="D7" s="2190"/>
      <c r="E7" s="2190"/>
      <c r="F7" s="2190"/>
      <c r="G7" s="2190"/>
      <c r="H7" s="2191"/>
      <c r="I7" s="131"/>
      <c r="J7" s="131"/>
      <c r="K7" s="131"/>
      <c r="L7" s="131"/>
      <c r="M7" s="131"/>
      <c r="N7" s="131"/>
      <c r="O7" s="131"/>
      <c r="P7" s="426"/>
    </row>
    <row r="8" spans="1:16" s="432" customFormat="1" ht="25.5">
      <c r="A8" s="427" t="s">
        <v>693</v>
      </c>
      <c r="B8" s="428" t="s">
        <v>676</v>
      </c>
      <c r="C8" s="429" t="s">
        <v>694</v>
      </c>
      <c r="D8" s="430" t="s">
        <v>695</v>
      </c>
      <c r="E8" s="430" t="s">
        <v>252</v>
      </c>
      <c r="F8" s="430" t="s">
        <v>696</v>
      </c>
      <c r="G8" s="430" t="s">
        <v>697</v>
      </c>
      <c r="H8" s="431" t="s">
        <v>698</v>
      </c>
      <c r="I8" s="131"/>
      <c r="J8" s="131"/>
      <c r="K8" s="131"/>
      <c r="L8" s="131"/>
      <c r="M8" s="131"/>
      <c r="N8" s="131"/>
      <c r="O8" s="131"/>
      <c r="P8" s="426"/>
    </row>
    <row r="9" spans="1:16" s="437" customFormat="1">
      <c r="A9" s="433"/>
      <c r="B9" s="434" t="s">
        <v>702</v>
      </c>
      <c r="C9" s="435" t="s">
        <v>703</v>
      </c>
      <c r="D9" s="436" t="s">
        <v>704</v>
      </c>
      <c r="E9" s="436" t="s">
        <v>705</v>
      </c>
      <c r="F9" s="436" t="s">
        <v>706</v>
      </c>
      <c r="G9" s="436" t="s">
        <v>707</v>
      </c>
      <c r="H9" s="434" t="s">
        <v>708</v>
      </c>
      <c r="I9" s="131"/>
      <c r="J9" s="131"/>
      <c r="K9" s="131"/>
      <c r="L9" s="131"/>
      <c r="M9" s="131"/>
      <c r="N9" s="131"/>
      <c r="O9" s="131"/>
      <c r="P9" s="426"/>
    </row>
    <row r="10" spans="1:16" s="437" customFormat="1" ht="44.25" customHeight="1">
      <c r="A10" s="433"/>
      <c r="B10" s="434"/>
      <c r="C10" s="438" t="s">
        <v>63</v>
      </c>
      <c r="D10" s="439" t="s">
        <v>68</v>
      </c>
      <c r="E10" s="439" t="s">
        <v>64</v>
      </c>
      <c r="F10" s="439" t="s">
        <v>709</v>
      </c>
      <c r="G10" s="439" t="s">
        <v>65</v>
      </c>
      <c r="H10" s="440" t="s">
        <v>66</v>
      </c>
      <c r="I10" s="131"/>
      <c r="J10" s="131"/>
      <c r="K10" s="131"/>
      <c r="L10" s="131"/>
      <c r="M10" s="131"/>
      <c r="N10" s="131"/>
      <c r="O10" s="131"/>
      <c r="P10" s="426"/>
    </row>
    <row r="11" spans="1:16">
      <c r="A11" s="433">
        <v>1</v>
      </c>
      <c r="B11" s="441" t="s">
        <v>712</v>
      </c>
      <c r="C11" s="442">
        <v>0</v>
      </c>
      <c r="D11" s="443">
        <v>0</v>
      </c>
      <c r="E11" s="443">
        <v>1332475327</v>
      </c>
      <c r="F11" s="443">
        <v>0</v>
      </c>
      <c r="G11" s="443">
        <v>0</v>
      </c>
      <c r="H11" s="444">
        <v>0</v>
      </c>
      <c r="I11" s="131"/>
      <c r="J11" s="131"/>
      <c r="K11" s="131"/>
      <c r="L11" s="131"/>
      <c r="M11" s="131"/>
      <c r="N11" s="131"/>
      <c r="O11" s="131"/>
      <c r="P11" s="426"/>
    </row>
    <row r="12" spans="1:16">
      <c r="A12" s="433">
        <f>+A11+1</f>
        <v>2</v>
      </c>
      <c r="B12" s="441" t="s">
        <v>319</v>
      </c>
      <c r="C12" s="442"/>
      <c r="D12" s="443"/>
      <c r="E12" s="443">
        <v>1335026893</v>
      </c>
      <c r="F12" s="443"/>
      <c r="G12" s="443"/>
      <c r="H12" s="444"/>
      <c r="I12" s="131"/>
      <c r="J12" s="131"/>
      <c r="K12" s="131"/>
      <c r="L12" s="131"/>
      <c r="M12" s="131"/>
      <c r="N12" s="131"/>
      <c r="O12" s="131"/>
      <c r="P12" s="426"/>
    </row>
    <row r="13" spans="1:16">
      <c r="A13" s="433">
        <f t="shared" ref="A13:A24" si="0">+A12+1</f>
        <v>3</v>
      </c>
      <c r="B13" s="445" t="s">
        <v>512</v>
      </c>
      <c r="C13" s="442"/>
      <c r="D13" s="443"/>
      <c r="E13" s="443">
        <v>1352878070</v>
      </c>
      <c r="F13" s="443"/>
      <c r="G13" s="443"/>
      <c r="H13" s="444"/>
      <c r="I13" s="131"/>
      <c r="J13" s="131"/>
      <c r="K13" s="131"/>
      <c r="L13" s="131"/>
      <c r="M13" s="131"/>
      <c r="N13" s="131"/>
      <c r="O13" s="131"/>
      <c r="P13" s="426"/>
    </row>
    <row r="14" spans="1:16">
      <c r="A14" s="433">
        <f t="shared" si="0"/>
        <v>4</v>
      </c>
      <c r="B14" s="445" t="s">
        <v>713</v>
      </c>
      <c r="C14" s="442"/>
      <c r="D14" s="443"/>
      <c r="E14" s="443">
        <v>1362890998</v>
      </c>
      <c r="F14" s="443"/>
      <c r="G14" s="443"/>
      <c r="H14" s="444"/>
      <c r="I14" s="131"/>
      <c r="J14" s="131"/>
      <c r="K14" s="131"/>
      <c r="L14" s="131"/>
      <c r="M14" s="131"/>
      <c r="N14" s="131"/>
      <c r="O14" s="131"/>
      <c r="P14" s="426"/>
    </row>
    <row r="15" spans="1:16">
      <c r="A15" s="433">
        <f t="shared" si="0"/>
        <v>5</v>
      </c>
      <c r="B15" s="445" t="s">
        <v>321</v>
      </c>
      <c r="C15" s="442"/>
      <c r="D15" s="443"/>
      <c r="E15" s="443">
        <v>1364776527</v>
      </c>
      <c r="F15" s="443"/>
      <c r="G15" s="443"/>
      <c r="H15" s="444"/>
      <c r="I15" s="131"/>
      <c r="J15" s="131"/>
      <c r="K15" s="131"/>
      <c r="L15" s="131"/>
      <c r="M15" s="131"/>
      <c r="N15" s="131"/>
      <c r="O15" s="131"/>
      <c r="P15" s="426"/>
    </row>
    <row r="16" spans="1:16">
      <c r="A16" s="433">
        <f t="shared" si="0"/>
        <v>6</v>
      </c>
      <c r="B16" s="445" t="s">
        <v>322</v>
      </c>
      <c r="C16" s="442"/>
      <c r="D16" s="443"/>
      <c r="E16" s="443">
        <v>1367954124</v>
      </c>
      <c r="F16" s="443"/>
      <c r="G16" s="443"/>
      <c r="H16" s="444"/>
      <c r="I16" s="131"/>
      <c r="J16" s="131"/>
      <c r="K16" s="131"/>
      <c r="L16" s="131"/>
      <c r="M16" s="131"/>
      <c r="N16" s="131"/>
      <c r="O16" s="131"/>
      <c r="P16" s="426"/>
    </row>
    <row r="17" spans="1:16">
      <c r="A17" s="433">
        <f t="shared" si="0"/>
        <v>7</v>
      </c>
      <c r="B17" s="445" t="s">
        <v>48</v>
      </c>
      <c r="C17" s="442"/>
      <c r="D17" s="443"/>
      <c r="E17" s="443">
        <v>1370469779</v>
      </c>
      <c r="F17" s="443"/>
      <c r="G17" s="443"/>
      <c r="H17" s="444"/>
      <c r="I17" s="131"/>
      <c r="J17" s="131"/>
      <c r="K17" s="131"/>
      <c r="L17" s="131"/>
      <c r="M17" s="131"/>
      <c r="N17" s="131"/>
      <c r="O17" s="131"/>
      <c r="P17" s="426"/>
    </row>
    <row r="18" spans="1:16">
      <c r="A18" s="433">
        <f t="shared" si="0"/>
        <v>8</v>
      </c>
      <c r="B18" s="445" t="s">
        <v>323</v>
      </c>
      <c r="C18" s="442"/>
      <c r="D18" s="443"/>
      <c r="E18" s="443">
        <v>1374902925</v>
      </c>
      <c r="F18" s="443"/>
      <c r="G18" s="443"/>
      <c r="H18" s="444"/>
      <c r="I18" s="131"/>
      <c r="J18" s="131"/>
      <c r="K18" s="131"/>
      <c r="L18" s="131"/>
      <c r="M18" s="131"/>
      <c r="N18" s="131"/>
      <c r="O18" s="131"/>
      <c r="P18" s="426"/>
    </row>
    <row r="19" spans="1:16">
      <c r="A19" s="433">
        <f t="shared" si="0"/>
        <v>9</v>
      </c>
      <c r="B19" s="445" t="s">
        <v>714</v>
      </c>
      <c r="C19" s="442"/>
      <c r="D19" s="443"/>
      <c r="E19" s="443">
        <v>1375690293</v>
      </c>
      <c r="F19" s="443"/>
      <c r="G19" s="443"/>
      <c r="H19" s="444"/>
      <c r="I19" s="131"/>
      <c r="J19" s="131"/>
      <c r="K19" s="131"/>
      <c r="L19" s="131"/>
      <c r="M19" s="131"/>
      <c r="N19" s="131"/>
      <c r="O19" s="131"/>
      <c r="P19" s="426"/>
    </row>
    <row r="20" spans="1:16">
      <c r="A20" s="433">
        <f t="shared" si="0"/>
        <v>10</v>
      </c>
      <c r="B20" s="445" t="s">
        <v>326</v>
      </c>
      <c r="C20" s="442"/>
      <c r="D20" s="443"/>
      <c r="E20" s="443">
        <v>1405680180</v>
      </c>
      <c r="F20" s="443"/>
      <c r="G20" s="443"/>
      <c r="H20" s="444"/>
      <c r="I20" s="131"/>
      <c r="J20" s="131"/>
      <c r="K20" s="131"/>
      <c r="L20" s="131"/>
      <c r="M20" s="131"/>
      <c r="N20" s="131"/>
      <c r="O20" s="131"/>
      <c r="P20" s="426"/>
    </row>
    <row r="21" spans="1:16">
      <c r="A21" s="433">
        <f t="shared" si="0"/>
        <v>11</v>
      </c>
      <c r="B21" s="445" t="s">
        <v>513</v>
      </c>
      <c r="C21" s="442"/>
      <c r="D21" s="443"/>
      <c r="E21" s="443">
        <v>1411272551</v>
      </c>
      <c r="F21" s="443"/>
      <c r="G21" s="443"/>
      <c r="H21" s="444"/>
      <c r="I21" s="131"/>
      <c r="J21" s="131"/>
      <c r="K21" s="131"/>
      <c r="L21" s="131"/>
      <c r="M21" s="131"/>
      <c r="N21" s="131"/>
      <c r="O21" s="131"/>
      <c r="P21" s="426"/>
    </row>
    <row r="22" spans="1:16">
      <c r="A22" s="433">
        <f t="shared" si="0"/>
        <v>12</v>
      </c>
      <c r="B22" s="445" t="s">
        <v>514</v>
      </c>
      <c r="C22" s="442"/>
      <c r="D22" s="443"/>
      <c r="E22" s="443">
        <v>1419158574</v>
      </c>
      <c r="F22" s="443"/>
      <c r="G22" s="443"/>
      <c r="H22" s="444"/>
      <c r="I22" s="131"/>
      <c r="J22" s="131"/>
      <c r="K22" s="131"/>
      <c r="L22" s="131"/>
      <c r="M22" s="131"/>
      <c r="N22" s="131"/>
      <c r="O22" s="131"/>
      <c r="P22" s="426"/>
    </row>
    <row r="23" spans="1:16">
      <c r="A23" s="446">
        <f t="shared" si="0"/>
        <v>13</v>
      </c>
      <c r="B23" s="447" t="s">
        <v>715</v>
      </c>
      <c r="C23" s="442">
        <v>0</v>
      </c>
      <c r="D23" s="443">
        <v>0</v>
      </c>
      <c r="E23" s="443">
        <v>1471698727</v>
      </c>
      <c r="F23" s="443">
        <v>0</v>
      </c>
      <c r="G23" s="443">
        <v>0</v>
      </c>
      <c r="H23" s="444">
        <v>0</v>
      </c>
      <c r="I23" s="131"/>
      <c r="J23" s="131"/>
      <c r="K23" s="131"/>
      <c r="L23" s="131"/>
      <c r="M23" s="131"/>
      <c r="N23" s="131"/>
      <c r="O23" s="131"/>
      <c r="P23" s="426"/>
    </row>
    <row r="24" spans="1:16" ht="13.5" thickBot="1">
      <c r="A24" s="448">
        <f t="shared" si="0"/>
        <v>14</v>
      </c>
      <c r="B24" s="1896" t="s">
        <v>1011</v>
      </c>
      <c r="C24" s="1899">
        <f t="shared" ref="C24:H24" si="1">SUM(C11:C23)/13</f>
        <v>0</v>
      </c>
      <c r="D24" s="1897">
        <f t="shared" si="1"/>
        <v>0</v>
      </c>
      <c r="E24" s="1897">
        <f t="shared" si="1"/>
        <v>1380374997.5384614</v>
      </c>
      <c r="F24" s="1897">
        <f t="shared" si="1"/>
        <v>0</v>
      </c>
      <c r="G24" s="1897">
        <f t="shared" si="1"/>
        <v>0</v>
      </c>
      <c r="H24" s="1898">
        <f t="shared" si="1"/>
        <v>0</v>
      </c>
      <c r="I24" s="131"/>
      <c r="J24" s="131"/>
      <c r="K24" s="131"/>
      <c r="L24" s="131"/>
      <c r="M24" s="131"/>
      <c r="N24" s="131"/>
      <c r="O24" s="131"/>
      <c r="P24" s="426"/>
    </row>
    <row r="25" spans="1:16" ht="13.5" thickTop="1">
      <c r="A25" s="420"/>
      <c r="B25" s="449"/>
      <c r="C25" s="2137"/>
      <c r="D25" s="2137"/>
      <c r="E25" s="2161"/>
      <c r="F25" s="2137"/>
      <c r="G25" s="2137"/>
      <c r="H25" s="2137"/>
      <c r="I25" s="131"/>
      <c r="J25" s="131"/>
      <c r="K25" s="131"/>
      <c r="L25" s="131"/>
      <c r="M25" s="131"/>
      <c r="N25" s="131"/>
      <c r="O25" s="131"/>
      <c r="P25" s="426"/>
    </row>
    <row r="26" spans="1:16" ht="14.25" customHeight="1">
      <c r="A26" s="420"/>
      <c r="B26" s="449"/>
      <c r="C26"/>
      <c r="D26"/>
      <c r="E26"/>
      <c r="F26"/>
      <c r="G26"/>
      <c r="H26"/>
      <c r="I26" s="131"/>
      <c r="J26" s="131"/>
      <c r="K26" s="131"/>
      <c r="L26" s="131"/>
      <c r="M26" s="131"/>
      <c r="N26" s="131"/>
      <c r="O26" s="131"/>
      <c r="P26" s="426"/>
    </row>
    <row r="27" spans="1:16" ht="12.75" customHeight="1">
      <c r="A27" s="420"/>
      <c r="B27" s="423"/>
      <c r="C27" s="2189" t="s">
        <v>719</v>
      </c>
      <c r="D27" s="2190"/>
      <c r="E27" s="2190"/>
      <c r="F27" s="2190"/>
      <c r="G27" s="2190"/>
      <c r="H27" s="131"/>
      <c r="I27" s="131"/>
      <c r="J27" s="131"/>
      <c r="K27" s="131"/>
      <c r="L27" s="131"/>
      <c r="M27" s="131"/>
      <c r="N27" s="131"/>
      <c r="O27" s="131"/>
      <c r="P27" s="426"/>
    </row>
    <row r="28" spans="1:16" s="432" customFormat="1" ht="25.5">
      <c r="A28" s="427" t="s">
        <v>693</v>
      </c>
      <c r="B28" s="428" t="s">
        <v>676</v>
      </c>
      <c r="C28" s="430" t="s">
        <v>699</v>
      </c>
      <c r="D28" s="430" t="s">
        <v>700</v>
      </c>
      <c r="E28" s="430" t="s">
        <v>701</v>
      </c>
      <c r="F28" s="430" t="s">
        <v>722</v>
      </c>
      <c r="G28" s="431" t="s">
        <v>723</v>
      </c>
      <c r="J28" s="131"/>
      <c r="K28" s="131"/>
      <c r="L28" s="131"/>
      <c r="M28" s="131"/>
      <c r="N28" s="131"/>
      <c r="O28" s="131"/>
      <c r="P28" s="426"/>
    </row>
    <row r="29" spans="1:16" s="437" customFormat="1">
      <c r="A29" s="433"/>
      <c r="B29" s="434" t="s">
        <v>702</v>
      </c>
      <c r="C29" s="436" t="s">
        <v>703</v>
      </c>
      <c r="D29" s="436" t="s">
        <v>704</v>
      </c>
      <c r="E29" s="436" t="s">
        <v>705</v>
      </c>
      <c r="F29" s="436" t="s">
        <v>706</v>
      </c>
      <c r="G29" s="434" t="s">
        <v>707</v>
      </c>
      <c r="J29" s="131"/>
      <c r="K29" s="131"/>
      <c r="L29" s="131"/>
      <c r="M29" s="131"/>
      <c r="N29" s="131"/>
      <c r="O29" s="131"/>
      <c r="P29" s="426"/>
    </row>
    <row r="30" spans="1:16" s="437" customFormat="1" ht="52.5" customHeight="1">
      <c r="A30" s="433"/>
      <c r="B30" s="434"/>
      <c r="C30" s="2138" t="s">
        <v>710</v>
      </c>
      <c r="D30" s="439" t="s">
        <v>711</v>
      </c>
      <c r="E30" s="439" t="s">
        <v>67</v>
      </c>
      <c r="F30" s="439" t="s">
        <v>651</v>
      </c>
      <c r="G30" s="440" t="s">
        <v>651</v>
      </c>
      <c r="J30" s="131"/>
      <c r="K30" s="131"/>
      <c r="L30" s="131"/>
      <c r="M30" s="131"/>
      <c r="N30" s="131"/>
      <c r="O30" s="131"/>
      <c r="P30" s="426"/>
    </row>
    <row r="31" spans="1:16">
      <c r="A31" s="433">
        <f>+A24+1</f>
        <v>15</v>
      </c>
      <c r="B31" s="441" t="s">
        <v>712</v>
      </c>
      <c r="C31" s="452">
        <v>20207089</v>
      </c>
      <c r="D31" s="443">
        <v>0</v>
      </c>
      <c r="E31" s="452">
        <v>18053996</v>
      </c>
      <c r="F31" s="1922"/>
      <c r="G31" s="453"/>
      <c r="J31" s="131"/>
      <c r="K31" s="131"/>
      <c r="L31" s="131"/>
      <c r="M31" s="131"/>
      <c r="N31" s="131"/>
      <c r="O31" s="131"/>
      <c r="P31" s="426"/>
    </row>
    <row r="32" spans="1:16">
      <c r="A32" s="433">
        <f>+A31+1</f>
        <v>16</v>
      </c>
      <c r="B32" s="441" t="s">
        <v>319</v>
      </c>
      <c r="C32" s="442">
        <v>20209696</v>
      </c>
      <c r="D32" s="443"/>
      <c r="E32" s="443">
        <v>18227147</v>
      </c>
      <c r="F32" s="443"/>
      <c r="G32" s="444"/>
      <c r="J32" s="131"/>
      <c r="K32" s="131"/>
      <c r="L32" s="131"/>
      <c r="M32" s="131"/>
      <c r="N32" s="131"/>
      <c r="O32" s="131"/>
      <c r="P32" s="426"/>
    </row>
    <row r="33" spans="1:16">
      <c r="A33" s="433">
        <f t="shared" ref="A33:A44" si="2">+A32+1</f>
        <v>17</v>
      </c>
      <c r="B33" s="445" t="s">
        <v>512</v>
      </c>
      <c r="C33" s="442">
        <v>20218032</v>
      </c>
      <c r="D33" s="443"/>
      <c r="E33" s="443">
        <v>18301030</v>
      </c>
      <c r="F33" s="443"/>
      <c r="G33" s="444"/>
      <c r="J33" s="131"/>
      <c r="K33" s="131"/>
      <c r="L33" s="131"/>
      <c r="M33" s="131"/>
      <c r="N33" s="131"/>
      <c r="O33" s="131"/>
      <c r="P33" s="426"/>
    </row>
    <row r="34" spans="1:16">
      <c r="A34" s="433">
        <f t="shared" si="2"/>
        <v>18</v>
      </c>
      <c r="B34" s="445" t="s">
        <v>713</v>
      </c>
      <c r="C34" s="442">
        <v>20236664</v>
      </c>
      <c r="D34" s="443"/>
      <c r="E34" s="443">
        <v>18305289</v>
      </c>
      <c r="F34" s="443"/>
      <c r="G34" s="444"/>
      <c r="J34" s="131"/>
      <c r="K34" s="131"/>
      <c r="L34" s="131"/>
      <c r="M34" s="131"/>
      <c r="N34" s="131"/>
      <c r="O34" s="131"/>
      <c r="P34" s="426"/>
    </row>
    <row r="35" spans="1:16">
      <c r="A35" s="433">
        <f t="shared" si="2"/>
        <v>19</v>
      </c>
      <c r="B35" s="445" t="s">
        <v>321</v>
      </c>
      <c r="C35" s="442">
        <v>20249814</v>
      </c>
      <c r="D35" s="443"/>
      <c r="E35" s="443">
        <v>18463187</v>
      </c>
      <c r="F35" s="443"/>
      <c r="G35" s="444"/>
      <c r="J35" s="131"/>
      <c r="K35" s="131"/>
      <c r="L35" s="131"/>
      <c r="M35" s="131"/>
      <c r="N35" s="131"/>
      <c r="O35" s="131"/>
      <c r="P35" s="426"/>
    </row>
    <row r="36" spans="1:16">
      <c r="A36" s="433">
        <f t="shared" si="2"/>
        <v>20</v>
      </c>
      <c r="B36" s="445" t="s">
        <v>322</v>
      </c>
      <c r="C36" s="442">
        <v>20251691</v>
      </c>
      <c r="D36" s="443"/>
      <c r="E36" s="443">
        <v>18572281</v>
      </c>
      <c r="F36" s="443"/>
      <c r="G36" s="444"/>
      <c r="J36" s="131"/>
      <c r="K36" s="131"/>
      <c r="L36" s="131"/>
      <c r="M36" s="131"/>
      <c r="N36" s="131"/>
      <c r="O36" s="131"/>
      <c r="P36" s="426"/>
    </row>
    <row r="37" spans="1:16">
      <c r="A37" s="433">
        <f t="shared" si="2"/>
        <v>21</v>
      </c>
      <c r="B37" s="445" t="s">
        <v>48</v>
      </c>
      <c r="C37" s="442">
        <v>20321681</v>
      </c>
      <c r="D37" s="443"/>
      <c r="E37" s="443">
        <v>18722204</v>
      </c>
      <c r="F37" s="443"/>
      <c r="G37" s="444"/>
      <c r="J37" s="131"/>
      <c r="K37" s="131"/>
      <c r="L37" s="131"/>
      <c r="M37" s="131"/>
      <c r="N37" s="131"/>
      <c r="O37" s="131"/>
      <c r="P37" s="426"/>
    </row>
    <row r="38" spans="1:16">
      <c r="A38" s="433">
        <f t="shared" si="2"/>
        <v>22</v>
      </c>
      <c r="B38" s="445" t="s">
        <v>323</v>
      </c>
      <c r="C38" s="442">
        <v>20322127</v>
      </c>
      <c r="D38" s="443"/>
      <c r="E38" s="443">
        <v>19164024</v>
      </c>
      <c r="F38" s="443"/>
      <c r="G38" s="444"/>
      <c r="J38" s="131"/>
      <c r="K38" s="131"/>
      <c r="L38" s="131"/>
      <c r="M38" s="131"/>
      <c r="N38" s="131"/>
      <c r="O38" s="131"/>
      <c r="P38" s="426"/>
    </row>
    <row r="39" spans="1:16">
      <c r="A39" s="433">
        <f t="shared" si="2"/>
        <v>23</v>
      </c>
      <c r="B39" s="445" t="s">
        <v>714</v>
      </c>
      <c r="C39" s="442">
        <v>20330279</v>
      </c>
      <c r="D39" s="443"/>
      <c r="E39" s="443">
        <v>19324409</v>
      </c>
      <c r="F39" s="443"/>
      <c r="G39" s="444"/>
      <c r="J39" s="131"/>
      <c r="K39" s="131"/>
      <c r="L39" s="131"/>
      <c r="M39" s="131"/>
      <c r="N39" s="131"/>
      <c r="O39" s="131"/>
      <c r="P39" s="426"/>
    </row>
    <row r="40" spans="1:16">
      <c r="A40" s="433">
        <f t="shared" si="2"/>
        <v>24</v>
      </c>
      <c r="B40" s="445" t="s">
        <v>326</v>
      </c>
      <c r="C40" s="442">
        <v>20330398</v>
      </c>
      <c r="D40" s="443"/>
      <c r="E40" s="443">
        <v>19616280</v>
      </c>
      <c r="F40" s="443"/>
      <c r="G40" s="444"/>
      <c r="J40" s="131"/>
      <c r="K40" s="131"/>
      <c r="L40" s="131"/>
      <c r="M40" s="131"/>
      <c r="N40" s="131"/>
      <c r="O40" s="131"/>
      <c r="P40" s="426"/>
    </row>
    <row r="41" spans="1:16">
      <c r="A41" s="433">
        <f t="shared" si="2"/>
        <v>25</v>
      </c>
      <c r="B41" s="445" t="s">
        <v>513</v>
      </c>
      <c r="C41" s="442">
        <v>20475599</v>
      </c>
      <c r="D41" s="443"/>
      <c r="E41" s="443">
        <v>19791053</v>
      </c>
      <c r="F41" s="443"/>
      <c r="G41" s="444"/>
      <c r="J41" s="131"/>
      <c r="K41" s="131"/>
      <c r="L41" s="131"/>
      <c r="M41" s="131"/>
      <c r="N41" s="131"/>
      <c r="O41" s="131"/>
      <c r="P41" s="426"/>
    </row>
    <row r="42" spans="1:16">
      <c r="A42" s="433">
        <f t="shared" si="2"/>
        <v>26</v>
      </c>
      <c r="B42" s="445" t="s">
        <v>514</v>
      </c>
      <c r="C42" s="442">
        <v>20604829</v>
      </c>
      <c r="D42" s="443"/>
      <c r="E42" s="443">
        <v>20210271</v>
      </c>
      <c r="F42" s="443"/>
      <c r="G42" s="444"/>
      <c r="J42" s="131"/>
      <c r="K42" s="131"/>
      <c r="L42" s="131"/>
      <c r="M42" s="131"/>
      <c r="N42" s="131"/>
      <c r="O42" s="131"/>
      <c r="P42" s="426"/>
    </row>
    <row r="43" spans="1:16">
      <c r="A43" s="446">
        <f t="shared" si="2"/>
        <v>27</v>
      </c>
      <c r="B43" s="447" t="s">
        <v>715</v>
      </c>
      <c r="C43" s="443">
        <v>20712712</v>
      </c>
      <c r="D43" s="443">
        <v>0</v>
      </c>
      <c r="E43" s="443">
        <v>20659904</v>
      </c>
      <c r="F43" s="443"/>
      <c r="G43" s="2156">
        <v>12486.98</v>
      </c>
      <c r="J43" s="131"/>
      <c r="K43" s="131"/>
      <c r="L43" s="131"/>
      <c r="M43" s="131"/>
      <c r="N43" s="131"/>
      <c r="O43" s="131"/>
      <c r="P43" s="426"/>
    </row>
    <row r="44" spans="1:16" ht="13.5" thickBot="1">
      <c r="A44" s="448">
        <f t="shared" si="2"/>
        <v>28</v>
      </c>
      <c r="B44" s="1896" t="s">
        <v>1011</v>
      </c>
      <c r="C44" s="1897">
        <f>SUM(C31:C43)/13</f>
        <v>20343893.153846152</v>
      </c>
      <c r="D44" s="1897">
        <f>SUM(D31:D43)/13</f>
        <v>0</v>
      </c>
      <c r="E44" s="1897">
        <f>SUM(E31:E43)/13</f>
        <v>19031621.153846152</v>
      </c>
      <c r="F44" s="1897">
        <f>SUM(F31:F43)/13</f>
        <v>0</v>
      </c>
      <c r="G44" s="1898">
        <f>SUM(G31:G43)/13</f>
        <v>960.53692307692302</v>
      </c>
      <c r="J44" s="131"/>
      <c r="K44" s="131"/>
      <c r="L44" s="131"/>
      <c r="M44" s="131"/>
      <c r="N44" s="131"/>
      <c r="O44" s="131"/>
      <c r="P44" s="426"/>
    </row>
    <row r="45" spans="1:16" ht="13.5" thickTop="1">
      <c r="A45" s="420"/>
      <c r="B45" s="449"/>
      <c r="C45" s="2137"/>
      <c r="D45" s="2137"/>
      <c r="E45" s="2137"/>
      <c r="F45" s="2140"/>
      <c r="G45" s="2140"/>
      <c r="H45" s="131"/>
      <c r="I45" s="131"/>
      <c r="J45" s="131"/>
      <c r="K45" s="131"/>
      <c r="L45" s="131"/>
      <c r="M45" s="131"/>
      <c r="N45" s="131"/>
      <c r="O45" s="131"/>
      <c r="P45" s="426"/>
    </row>
    <row r="46" spans="1:16">
      <c r="A46" s="420"/>
      <c r="C46" s="450"/>
      <c r="D46" s="450"/>
      <c r="E46" s="450"/>
      <c r="F46" s="451"/>
      <c r="G46" s="451"/>
      <c r="H46" s="451"/>
      <c r="I46" s="451"/>
      <c r="J46" s="451"/>
      <c r="K46" s="450"/>
      <c r="L46" s="450"/>
      <c r="M46" s="450"/>
      <c r="N46" s="454"/>
      <c r="O46" s="454"/>
      <c r="P46" s="426"/>
    </row>
    <row r="47" spans="1:16">
      <c r="A47" s="420"/>
      <c r="B47" s="455" t="s">
        <v>741</v>
      </c>
      <c r="C47" s="450"/>
      <c r="D47" s="450"/>
      <c r="E47" s="450"/>
      <c r="F47" s="451"/>
      <c r="G47" s="451"/>
      <c r="H47" s="451"/>
      <c r="I47" s="451"/>
      <c r="J47" s="451"/>
      <c r="K47" s="450"/>
      <c r="L47" s="450"/>
      <c r="M47" s="450"/>
      <c r="N47" s="454"/>
      <c r="O47" s="454"/>
      <c r="P47" s="426"/>
    </row>
    <row r="48" spans="1:16" ht="25.5">
      <c r="A48" s="456" t="s">
        <v>693</v>
      </c>
      <c r="B48" s="457" t="s">
        <v>727</v>
      </c>
      <c r="C48" s="2184" t="s">
        <v>728</v>
      </c>
      <c r="D48" s="2184"/>
      <c r="E48" s="2184"/>
      <c r="F48" s="458" t="s">
        <v>729</v>
      </c>
      <c r="G48" s="458" t="str">
        <f>'OKT TCOS'!N2&amp;" Rate Year Beginning balance"</f>
        <v>2022 Rate Year Beginning balance</v>
      </c>
      <c r="H48" s="458" t="str">
        <f>'OKT TCOS'!N2&amp;" Rate Year Ending balance"</f>
        <v>2022 Rate Year Ending balance</v>
      </c>
      <c r="I48" s="430" t="str">
        <f>'OKT TCOS'!N2&amp;" Rate Year Average"</f>
        <v>2022 Rate Year Average</v>
      </c>
      <c r="J48" s="451"/>
      <c r="K48" s="450"/>
      <c r="L48" s="450"/>
      <c r="M48" s="450"/>
      <c r="N48" s="454"/>
      <c r="O48" s="454"/>
      <c r="P48" s="426"/>
    </row>
    <row r="49" spans="1:16">
      <c r="A49" s="420"/>
      <c r="B49" s="436" t="s">
        <v>702</v>
      </c>
      <c r="C49" s="2185" t="s">
        <v>703</v>
      </c>
      <c r="D49" s="2185"/>
      <c r="E49" s="2185"/>
      <c r="F49" s="436" t="s">
        <v>704</v>
      </c>
      <c r="G49" s="436" t="s">
        <v>705</v>
      </c>
      <c r="H49" s="436" t="s">
        <v>706</v>
      </c>
      <c r="I49" s="459" t="s">
        <v>707</v>
      </c>
      <c r="J49" s="451"/>
      <c r="K49" s="450"/>
      <c r="L49" s="450"/>
      <c r="M49" s="450"/>
      <c r="N49" s="454"/>
      <c r="O49" s="454"/>
      <c r="P49" s="426"/>
    </row>
    <row r="50" spans="1:16">
      <c r="A50" s="460" t="str">
        <f>+A$44+1&amp;"A"</f>
        <v>29A</v>
      </c>
      <c r="B50" s="443"/>
      <c r="C50" s="443"/>
      <c r="D50" s="443"/>
      <c r="E50" s="443"/>
      <c r="F50" s="461"/>
      <c r="G50" s="443"/>
      <c r="H50" s="443"/>
      <c r="I50" s="443"/>
    </row>
    <row r="51" spans="1:16">
      <c r="A51" s="460" t="str">
        <f>+A$44+1&amp;"B"</f>
        <v>29B</v>
      </c>
      <c r="B51" s="443"/>
      <c r="C51" s="443"/>
      <c r="D51" s="443"/>
      <c r="E51" s="443"/>
      <c r="F51" s="461"/>
      <c r="G51" s="443"/>
      <c r="H51" s="443"/>
      <c r="I51" s="443"/>
    </row>
    <row r="52" spans="1:16">
      <c r="A52" s="460" t="str">
        <f>+A$44+1&amp;"C"</f>
        <v>29C</v>
      </c>
      <c r="B52" s="443"/>
      <c r="C52" s="443"/>
      <c r="D52" s="443"/>
      <c r="E52" s="443"/>
      <c r="F52" s="443"/>
      <c r="G52" s="443"/>
      <c r="H52" s="443"/>
      <c r="I52" s="443"/>
    </row>
    <row r="53" spans="1:16" ht="13.5" thickBot="1">
      <c r="A53" s="460">
        <f>+A44+2</f>
        <v>30</v>
      </c>
      <c r="B53" s="462" t="s">
        <v>732</v>
      </c>
      <c r="C53" s="462"/>
      <c r="D53" s="462"/>
      <c r="E53" s="462"/>
      <c r="F53" s="462"/>
      <c r="G53" s="463">
        <f>+SUM(G50:G52)</f>
        <v>0</v>
      </c>
      <c r="H53" s="463">
        <f>+SUM(H50:H52)</f>
        <v>0</v>
      </c>
      <c r="I53" s="463">
        <f>+SUM(I50:I52)</f>
        <v>0</v>
      </c>
    </row>
    <row r="54" spans="1:16" ht="13.5" thickTop="1"/>
    <row r="55" spans="1:16">
      <c r="A55" s="465" t="s">
        <v>740</v>
      </c>
    </row>
    <row r="56" spans="1:16">
      <c r="A56" s="460" t="s">
        <v>298</v>
      </c>
      <c r="B56" s="418" t="s">
        <v>743</v>
      </c>
    </row>
    <row r="57" spans="1:16">
      <c r="A57" s="420" t="s">
        <v>299</v>
      </c>
      <c r="B57" s="466" t="s">
        <v>742</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1"/>
  <sheetViews>
    <sheetView zoomScaleNormal="100" zoomScaleSheetLayoutView="70" zoomScalePageLayoutView="80" workbookViewId="0">
      <selection activeCell="C45" sqref="C45:E45"/>
    </sheetView>
  </sheetViews>
  <sheetFormatPr defaultColWidth="11.42578125" defaultRowHeight="12.75"/>
  <cols>
    <col min="1" max="1" width="10.28515625" style="464" customWidth="1"/>
    <col min="2" max="2" width="39.7109375" style="418" customWidth="1"/>
    <col min="3" max="3" width="21.28515625" style="418" customWidth="1"/>
    <col min="4" max="4" width="19.28515625" style="418" customWidth="1"/>
    <col min="5" max="5" width="18.7109375" style="418" customWidth="1"/>
    <col min="6" max="6" width="18" style="418" customWidth="1"/>
    <col min="7" max="7" width="16.5703125" style="418" customWidth="1"/>
    <col min="8" max="8" width="17.28515625" style="418" customWidth="1"/>
    <col min="9" max="9" width="15.28515625" style="418" customWidth="1"/>
    <col min="10" max="15" width="20.28515625" style="418" customWidth="1"/>
    <col min="16" max="16" width="20" style="418" customWidth="1"/>
    <col min="17" max="18" width="15.28515625" style="418" customWidth="1"/>
    <col min="19" max="16384" width="11.42578125" style="418"/>
  </cols>
  <sheetData>
    <row r="1" spans="1:16" ht="15">
      <c r="A1" s="417"/>
    </row>
    <row r="2" spans="1:16" ht="15">
      <c r="A2" s="2186" t="str">
        <f>'OKT TCOS'!F4</f>
        <v xml:space="preserve">AEP West SPP Member Transmission Companies </v>
      </c>
      <c r="B2" s="2186"/>
      <c r="C2" s="2186"/>
      <c r="D2" s="2186"/>
      <c r="E2" s="2186"/>
      <c r="F2" s="2186"/>
      <c r="G2" s="2186"/>
      <c r="H2" s="2186"/>
      <c r="I2" s="419"/>
      <c r="J2" s="419"/>
      <c r="K2" s="419"/>
      <c r="L2" s="420"/>
      <c r="M2" s="420"/>
    </row>
    <row r="3" spans="1:16" ht="15">
      <c r="A3" s="2186" t="str">
        <f>"Actual / Projected "&amp;'OKT TCOS'!$N$2&amp;" Rate Year Cost of Service Formula Rate "</f>
        <v xml:space="preserve">Actual / Projected 2022 Rate Year Cost of Service Formula Rate </v>
      </c>
      <c r="B3" s="2186"/>
      <c r="C3" s="2186"/>
      <c r="D3" s="2186"/>
      <c r="E3" s="2186"/>
      <c r="F3" s="2186"/>
      <c r="G3" s="2186"/>
      <c r="H3" s="2186"/>
      <c r="I3" s="419"/>
      <c r="J3" s="419"/>
      <c r="K3" s="419"/>
      <c r="L3" s="420"/>
      <c r="M3" s="420"/>
      <c r="N3" s="420"/>
      <c r="P3" s="421"/>
    </row>
    <row r="4" spans="1:16" ht="15.75">
      <c r="A4" s="2187" t="s">
        <v>724</v>
      </c>
      <c r="B4" s="2187"/>
      <c r="C4" s="2187"/>
      <c r="D4" s="2187"/>
      <c r="E4" s="2187"/>
      <c r="F4" s="2187"/>
      <c r="G4" s="2187"/>
      <c r="H4" s="2187"/>
      <c r="I4" s="419"/>
      <c r="J4" s="419"/>
      <c r="K4" s="419"/>
      <c r="L4" s="420"/>
      <c r="M4" s="420"/>
      <c r="N4" s="420"/>
    </row>
    <row r="5" spans="1:16" ht="15.75">
      <c r="A5" s="2188" t="str">
        <f>+'OKT TCOS'!$F$8</f>
        <v>AEP OKLAHOMA TRANSMISSION COMPANY, INC.</v>
      </c>
      <c r="B5" s="2188"/>
      <c r="C5" s="2188"/>
      <c r="D5" s="2188"/>
      <c r="E5" s="2188"/>
      <c r="F5" s="2188"/>
      <c r="G5" s="2188"/>
      <c r="H5" s="2188"/>
      <c r="I5" s="422"/>
      <c r="J5" s="422"/>
      <c r="K5" s="422"/>
      <c r="L5" s="420"/>
      <c r="M5" s="420"/>
      <c r="N5" s="420"/>
    </row>
    <row r="6" spans="1:16">
      <c r="A6" s="420"/>
      <c r="B6" s="423"/>
      <c r="C6" s="423"/>
      <c r="D6" s="423"/>
      <c r="E6" s="2157"/>
      <c r="F6" s="423"/>
      <c r="G6" s="423"/>
      <c r="H6" s="423"/>
      <c r="I6" s="424"/>
      <c r="J6" s="425"/>
      <c r="L6" s="425"/>
      <c r="N6" s="425"/>
      <c r="P6" s="425"/>
    </row>
    <row r="7" spans="1:16" ht="12.75" customHeight="1">
      <c r="A7" s="420"/>
      <c r="B7" s="423"/>
      <c r="C7" s="2189" t="s">
        <v>721</v>
      </c>
      <c r="D7" s="2190"/>
      <c r="E7" s="2190"/>
      <c r="F7" s="2190"/>
      <c r="G7" s="2190"/>
      <c r="H7" s="2191"/>
      <c r="I7" s="131"/>
      <c r="J7" s="131"/>
      <c r="K7" s="131"/>
      <c r="L7" s="131"/>
      <c r="M7" s="131"/>
      <c r="N7" s="131"/>
      <c r="O7" s="131"/>
      <c r="P7" s="426"/>
    </row>
    <row r="8" spans="1:16" s="432" customFormat="1" ht="56.25" customHeight="1">
      <c r="A8" s="427" t="s">
        <v>693</v>
      </c>
      <c r="B8" s="428" t="s">
        <v>676</v>
      </c>
      <c r="C8" s="430" t="s">
        <v>694</v>
      </c>
      <c r="D8" s="430" t="s">
        <v>695</v>
      </c>
      <c r="E8" s="430" t="s">
        <v>252</v>
      </c>
      <c r="F8" s="430" t="s">
        <v>696</v>
      </c>
      <c r="G8" s="430" t="s">
        <v>697</v>
      </c>
      <c r="H8" s="430" t="s">
        <v>698</v>
      </c>
      <c r="I8" s="131"/>
      <c r="J8" s="131"/>
      <c r="K8" s="131"/>
      <c r="L8" s="131"/>
      <c r="M8" s="131"/>
      <c r="N8" s="131"/>
      <c r="O8" s="131"/>
      <c r="P8" s="426"/>
    </row>
    <row r="9" spans="1:16" s="437" customFormat="1">
      <c r="A9" s="433"/>
      <c r="B9" s="434" t="s">
        <v>702</v>
      </c>
      <c r="C9" s="436" t="s">
        <v>703</v>
      </c>
      <c r="D9" s="436" t="s">
        <v>704</v>
      </c>
      <c r="E9" s="436" t="s">
        <v>705</v>
      </c>
      <c r="F9" s="436" t="s">
        <v>706</v>
      </c>
      <c r="G9" s="436" t="s">
        <v>707</v>
      </c>
      <c r="H9" s="436" t="s">
        <v>708</v>
      </c>
      <c r="I9" s="131"/>
      <c r="J9" s="131"/>
      <c r="K9" s="131"/>
      <c r="L9" s="131"/>
      <c r="M9" s="131"/>
      <c r="N9" s="131"/>
      <c r="O9" s="131"/>
      <c r="P9" s="426"/>
    </row>
    <row r="10" spans="1:16" s="437" customFormat="1" ht="44.25" customHeight="1">
      <c r="A10" s="433"/>
      <c r="B10" s="434"/>
      <c r="C10" s="439" t="s">
        <v>21</v>
      </c>
      <c r="D10" s="439" t="s">
        <v>716</v>
      </c>
      <c r="E10" s="439" t="s">
        <v>22</v>
      </c>
      <c r="F10" s="439" t="s">
        <v>716</v>
      </c>
      <c r="G10" s="439" t="s">
        <v>178</v>
      </c>
      <c r="H10" s="439" t="s">
        <v>716</v>
      </c>
      <c r="I10" s="131"/>
      <c r="J10" s="131"/>
      <c r="K10" s="131"/>
      <c r="L10" s="131"/>
      <c r="M10" s="131"/>
      <c r="N10" s="131"/>
      <c r="O10" s="131"/>
      <c r="P10" s="426"/>
    </row>
    <row r="11" spans="1:16">
      <c r="A11" s="433">
        <v>1</v>
      </c>
      <c r="B11" s="441" t="s">
        <v>712</v>
      </c>
      <c r="C11" s="443">
        <v>0</v>
      </c>
      <c r="D11" s="443">
        <v>0</v>
      </c>
      <c r="E11" s="443">
        <v>160359489</v>
      </c>
      <c r="F11" s="443"/>
      <c r="G11" s="443">
        <v>0</v>
      </c>
      <c r="H11" s="443"/>
      <c r="I11" s="131"/>
      <c r="J11" s="131"/>
      <c r="K11" s="131"/>
      <c r="L11" s="131"/>
      <c r="M11" s="131"/>
      <c r="N11" s="131"/>
      <c r="O11" s="131"/>
      <c r="P11" s="426"/>
    </row>
    <row r="12" spans="1:16">
      <c r="A12" s="433">
        <f>+A11+1</f>
        <v>2</v>
      </c>
      <c r="B12" s="441" t="s">
        <v>319</v>
      </c>
      <c r="C12" s="443"/>
      <c r="D12" s="443"/>
      <c r="E12" s="443">
        <v>163797045</v>
      </c>
      <c r="F12" s="443"/>
      <c r="G12" s="443"/>
      <c r="H12" s="443"/>
      <c r="I12" s="131"/>
      <c r="J12" s="131"/>
      <c r="K12" s="131"/>
      <c r="L12" s="131"/>
      <c r="M12" s="131"/>
      <c r="N12" s="131"/>
      <c r="O12" s="131"/>
      <c r="P12" s="426"/>
    </row>
    <row r="13" spans="1:16">
      <c r="A13" s="433">
        <f t="shared" ref="A13:A24" si="0">+A12+1</f>
        <v>3</v>
      </c>
      <c r="B13" s="445" t="s">
        <v>512</v>
      </c>
      <c r="C13" s="443"/>
      <c r="D13" s="443"/>
      <c r="E13" s="443">
        <v>167171925</v>
      </c>
      <c r="F13" s="443"/>
      <c r="G13" s="443"/>
      <c r="H13" s="443"/>
      <c r="I13" s="131"/>
      <c r="J13" s="131"/>
      <c r="K13" s="131"/>
      <c r="L13" s="131"/>
      <c r="M13" s="131"/>
      <c r="N13" s="131"/>
      <c r="O13" s="131"/>
      <c r="P13" s="426"/>
    </row>
    <row r="14" spans="1:16">
      <c r="A14" s="433">
        <f t="shared" si="0"/>
        <v>4</v>
      </c>
      <c r="B14" s="445" t="s">
        <v>713</v>
      </c>
      <c r="C14" s="443"/>
      <c r="D14" s="443"/>
      <c r="E14" s="443">
        <v>170500403</v>
      </c>
      <c r="F14" s="443"/>
      <c r="G14" s="443"/>
      <c r="H14" s="443"/>
      <c r="I14" s="131"/>
      <c r="J14" s="131"/>
      <c r="K14" s="131"/>
      <c r="L14" s="131"/>
      <c r="M14" s="131"/>
      <c r="N14" s="131"/>
      <c r="O14" s="131"/>
      <c r="P14" s="426"/>
    </row>
    <row r="15" spans="1:16">
      <c r="A15" s="433">
        <f t="shared" si="0"/>
        <v>5</v>
      </c>
      <c r="B15" s="445" t="s">
        <v>321</v>
      </c>
      <c r="C15" s="443"/>
      <c r="D15" s="443"/>
      <c r="E15" s="443">
        <v>173484450</v>
      </c>
      <c r="F15" s="443"/>
      <c r="G15" s="443"/>
      <c r="H15" s="443"/>
      <c r="I15" s="131"/>
      <c r="J15" s="131"/>
      <c r="K15" s="131"/>
      <c r="L15" s="131"/>
      <c r="M15" s="131"/>
      <c r="N15" s="131"/>
      <c r="O15" s="131"/>
      <c r="P15" s="426"/>
    </row>
    <row r="16" spans="1:16">
      <c r="A16" s="433">
        <f t="shared" si="0"/>
        <v>6</v>
      </c>
      <c r="B16" s="445" t="s">
        <v>322</v>
      </c>
      <c r="C16" s="443"/>
      <c r="D16" s="443"/>
      <c r="E16" s="443">
        <v>176467103</v>
      </c>
      <c r="F16" s="443"/>
      <c r="G16" s="443"/>
      <c r="H16" s="443"/>
      <c r="I16" s="131"/>
      <c r="J16" s="131"/>
      <c r="K16" s="131"/>
      <c r="L16" s="131"/>
      <c r="M16" s="131"/>
      <c r="N16" s="131"/>
      <c r="O16" s="131"/>
      <c r="P16" s="426"/>
    </row>
    <row r="17" spans="1:16">
      <c r="A17" s="433">
        <f t="shared" si="0"/>
        <v>7</v>
      </c>
      <c r="B17" s="445" t="s">
        <v>48</v>
      </c>
      <c r="C17" s="443"/>
      <c r="D17" s="443"/>
      <c r="E17" s="443">
        <v>179499372</v>
      </c>
      <c r="F17" s="443"/>
      <c r="G17" s="443"/>
      <c r="H17" s="443"/>
      <c r="I17" s="131"/>
      <c r="J17" s="131"/>
      <c r="K17" s="131"/>
      <c r="L17" s="131"/>
      <c r="M17" s="131"/>
      <c r="N17" s="131"/>
      <c r="O17" s="131"/>
      <c r="P17" s="426"/>
    </row>
    <row r="18" spans="1:16">
      <c r="A18" s="433">
        <f t="shared" si="0"/>
        <v>8</v>
      </c>
      <c r="B18" s="445" t="s">
        <v>323</v>
      </c>
      <c r="C18" s="443"/>
      <c r="D18" s="443"/>
      <c r="E18" s="443">
        <v>182905743</v>
      </c>
      <c r="F18" s="443"/>
      <c r="G18" s="443"/>
      <c r="H18" s="443"/>
      <c r="I18" s="131"/>
      <c r="J18" s="131"/>
      <c r="K18" s="131"/>
      <c r="L18" s="131"/>
      <c r="M18" s="131"/>
      <c r="N18" s="131"/>
      <c r="O18" s="131"/>
      <c r="P18" s="426"/>
    </row>
    <row r="19" spans="1:16">
      <c r="A19" s="433">
        <f t="shared" si="0"/>
        <v>9</v>
      </c>
      <c r="B19" s="445" t="s">
        <v>714</v>
      </c>
      <c r="C19" s="443"/>
      <c r="D19" s="443"/>
      <c r="E19" s="443">
        <v>186454012</v>
      </c>
      <c r="F19" s="443"/>
      <c r="G19" s="443"/>
      <c r="H19" s="443"/>
      <c r="I19" s="131"/>
      <c r="J19" s="131"/>
      <c r="K19" s="131"/>
      <c r="L19" s="131"/>
      <c r="M19" s="131"/>
      <c r="N19" s="131"/>
      <c r="O19" s="131"/>
      <c r="P19" s="426"/>
    </row>
    <row r="20" spans="1:16">
      <c r="A20" s="433">
        <f t="shared" si="0"/>
        <v>10</v>
      </c>
      <c r="B20" s="445" t="s">
        <v>326</v>
      </c>
      <c r="C20" s="443"/>
      <c r="D20" s="443"/>
      <c r="E20" s="443">
        <v>193664836</v>
      </c>
      <c r="F20" s="443"/>
      <c r="G20" s="443"/>
      <c r="H20" s="443"/>
      <c r="I20" s="131"/>
      <c r="J20" s="131"/>
      <c r="K20" s="131"/>
      <c r="L20" s="131"/>
      <c r="M20" s="131"/>
      <c r="N20" s="131"/>
      <c r="O20" s="131"/>
      <c r="P20" s="426"/>
    </row>
    <row r="21" spans="1:16">
      <c r="A21" s="433">
        <f t="shared" si="0"/>
        <v>11</v>
      </c>
      <c r="B21" s="445" t="s">
        <v>513</v>
      </c>
      <c r="C21" s="443"/>
      <c r="D21" s="443"/>
      <c r="E21" s="443">
        <v>197302669</v>
      </c>
      <c r="F21" s="443"/>
      <c r="G21" s="443"/>
      <c r="H21" s="443"/>
      <c r="I21" s="131"/>
      <c r="J21" s="131"/>
      <c r="K21" s="131"/>
      <c r="L21" s="131"/>
      <c r="M21" s="131"/>
      <c r="N21" s="131"/>
      <c r="O21" s="131"/>
      <c r="P21" s="426"/>
    </row>
    <row r="22" spans="1:16">
      <c r="A22" s="433">
        <f t="shared" si="0"/>
        <v>12</v>
      </c>
      <c r="B22" s="445" t="s">
        <v>514</v>
      </c>
      <c r="C22" s="443"/>
      <c r="D22" s="443"/>
      <c r="E22" s="443">
        <v>200811693</v>
      </c>
      <c r="F22" s="443"/>
      <c r="G22" s="443"/>
      <c r="H22" s="443"/>
      <c r="I22" s="131"/>
      <c r="J22" s="131"/>
      <c r="K22" s="131"/>
      <c r="L22" s="131"/>
      <c r="M22" s="131"/>
      <c r="N22" s="131"/>
      <c r="O22" s="131"/>
      <c r="P22" s="426"/>
    </row>
    <row r="23" spans="1:16">
      <c r="A23" s="446">
        <f t="shared" si="0"/>
        <v>13</v>
      </c>
      <c r="B23" s="467" t="s">
        <v>715</v>
      </c>
      <c r="C23" s="443">
        <v>0</v>
      </c>
      <c r="D23" s="443">
        <v>0</v>
      </c>
      <c r="E23" s="443">
        <v>204235628</v>
      </c>
      <c r="F23" s="443"/>
      <c r="G23" s="443">
        <v>0</v>
      </c>
      <c r="H23" s="443"/>
      <c r="I23" s="131"/>
      <c r="J23" s="131"/>
      <c r="K23" s="131"/>
      <c r="L23" s="131"/>
      <c r="M23" s="131"/>
      <c r="N23" s="131"/>
      <c r="O23" s="131"/>
      <c r="P23" s="426"/>
    </row>
    <row r="24" spans="1:16" ht="13.5" thickBot="1">
      <c r="A24" s="448">
        <f t="shared" si="0"/>
        <v>14</v>
      </c>
      <c r="B24" s="1896" t="s">
        <v>1011</v>
      </c>
      <c r="C24" s="1899">
        <f t="shared" ref="C24:H24" si="1">SUM(C11:C23)/13</f>
        <v>0</v>
      </c>
      <c r="D24" s="1897">
        <f t="shared" si="1"/>
        <v>0</v>
      </c>
      <c r="E24" s="1897">
        <f t="shared" si="1"/>
        <v>181281105.23076922</v>
      </c>
      <c r="F24" s="1897">
        <f t="shared" si="1"/>
        <v>0</v>
      </c>
      <c r="G24" s="1897">
        <f t="shared" si="1"/>
        <v>0</v>
      </c>
      <c r="H24" s="1898">
        <f t="shared" si="1"/>
        <v>0</v>
      </c>
      <c r="I24" s="131"/>
      <c r="J24" s="131"/>
      <c r="K24" s="131"/>
      <c r="L24" s="131"/>
      <c r="M24" s="131"/>
      <c r="N24" s="131"/>
      <c r="O24" s="131"/>
      <c r="P24" s="426"/>
    </row>
    <row r="25" spans="1:16" ht="13.5" thickTop="1">
      <c r="A25" s="420"/>
      <c r="B25" s="449"/>
      <c r="C25" s="2139"/>
      <c r="D25" s="2137"/>
      <c r="E25" s="2137"/>
      <c r="F25" s="2160"/>
      <c r="G25" s="2139"/>
      <c r="H25" s="451"/>
      <c r="I25" s="131"/>
      <c r="J25" s="131"/>
      <c r="K25" s="131"/>
      <c r="L25" s="131"/>
      <c r="M25" s="131"/>
      <c r="N25" s="131"/>
      <c r="O25" s="131"/>
      <c r="P25" s="426"/>
    </row>
    <row r="26" spans="1:16" ht="14.25" customHeight="1">
      <c r="A26" s="420"/>
      <c r="B26" s="449"/>
      <c r="C26" s="2137"/>
      <c r="D26" s="2137"/>
      <c r="E26" s="2139"/>
      <c r="F26" s="2140"/>
      <c r="G26" s="2140"/>
      <c r="H26" s="2140"/>
      <c r="I26" s="137"/>
      <c r="J26" s="131"/>
      <c r="K26" s="131"/>
      <c r="L26" s="131"/>
      <c r="M26" s="131"/>
      <c r="N26" s="131"/>
      <c r="O26" s="131"/>
      <c r="P26" s="426"/>
    </row>
    <row r="27" spans="1:16" ht="12.75" customHeight="1">
      <c r="A27" s="420"/>
      <c r="B27" s="423"/>
      <c r="C27" s="2189" t="s">
        <v>720</v>
      </c>
      <c r="D27" s="2190"/>
      <c r="E27" s="2190"/>
      <c r="F27" s="2190"/>
      <c r="G27" s="2191"/>
      <c r="H27" s="468"/>
      <c r="I27" s="468"/>
      <c r="J27" s="131"/>
      <c r="K27" s="131"/>
      <c r="L27" s="131"/>
      <c r="M27" s="131"/>
      <c r="N27" s="131"/>
      <c r="O27" s="131"/>
      <c r="P27" s="426"/>
    </row>
    <row r="28" spans="1:16" s="432" customFormat="1" ht="29.25" customHeight="1">
      <c r="A28" s="427" t="s">
        <v>693</v>
      </c>
      <c r="B28" s="428" t="s">
        <v>676</v>
      </c>
      <c r="C28" s="430" t="s">
        <v>699</v>
      </c>
      <c r="D28" s="430" t="s">
        <v>700</v>
      </c>
      <c r="E28" s="430" t="s">
        <v>701</v>
      </c>
      <c r="F28" s="430" t="s">
        <v>722</v>
      </c>
      <c r="G28" s="431" t="s">
        <v>723</v>
      </c>
      <c r="J28" s="131"/>
      <c r="K28" s="131"/>
      <c r="L28" s="131"/>
      <c r="M28" s="131"/>
      <c r="N28" s="131"/>
      <c r="O28" s="131"/>
      <c r="P28" s="426"/>
    </row>
    <row r="29" spans="1:16" s="437" customFormat="1">
      <c r="A29" s="433"/>
      <c r="B29" s="434" t="s">
        <v>702</v>
      </c>
      <c r="C29" s="436" t="s">
        <v>703</v>
      </c>
      <c r="D29" s="436" t="s">
        <v>704</v>
      </c>
      <c r="E29" s="436" t="s">
        <v>705</v>
      </c>
      <c r="F29" s="436" t="s">
        <v>706</v>
      </c>
      <c r="G29" s="436" t="s">
        <v>707</v>
      </c>
      <c r="J29" s="131"/>
      <c r="K29" s="131"/>
      <c r="L29" s="131"/>
      <c r="M29" s="131"/>
      <c r="N29" s="131"/>
      <c r="O29" s="131"/>
      <c r="P29" s="426"/>
    </row>
    <row r="30" spans="1:16" s="437" customFormat="1" ht="52.5" customHeight="1">
      <c r="A30" s="433"/>
      <c r="B30" s="434"/>
      <c r="C30" s="439" t="s">
        <v>129</v>
      </c>
      <c r="D30" s="439" t="s">
        <v>717</v>
      </c>
      <c r="E30" s="439" t="s">
        <v>179</v>
      </c>
      <c r="F30" s="439" t="s">
        <v>651</v>
      </c>
      <c r="G30" s="440" t="s">
        <v>651</v>
      </c>
      <c r="J30" s="131"/>
      <c r="K30" s="131"/>
      <c r="L30" s="131"/>
      <c r="M30" s="131"/>
      <c r="N30" s="131"/>
      <c r="O30" s="131"/>
      <c r="P30" s="426"/>
    </row>
    <row r="31" spans="1:16">
      <c r="A31" s="433">
        <f>+A24+1</f>
        <v>15</v>
      </c>
      <c r="B31" s="441" t="s">
        <v>712</v>
      </c>
      <c r="C31" s="452">
        <v>1323622</v>
      </c>
      <c r="D31" s="443"/>
      <c r="E31" s="452">
        <v>5218798</v>
      </c>
      <c r="F31" s="443"/>
      <c r="G31" s="444"/>
      <c r="J31" s="131"/>
      <c r="K31" s="131"/>
      <c r="L31" s="131"/>
      <c r="M31" s="131"/>
      <c r="N31" s="131"/>
      <c r="O31" s="131"/>
      <c r="P31" s="426"/>
    </row>
    <row r="32" spans="1:16">
      <c r="A32" s="433">
        <f>+A31+1</f>
        <v>16</v>
      </c>
      <c r="B32" s="441" t="s">
        <v>319</v>
      </c>
      <c r="C32" s="443">
        <v>1359147</v>
      </c>
      <c r="D32" s="443"/>
      <c r="E32" s="443">
        <v>5366682</v>
      </c>
      <c r="F32" s="443"/>
      <c r="G32" s="443"/>
      <c r="J32" s="131"/>
      <c r="K32" s="131"/>
      <c r="L32" s="131"/>
      <c r="M32" s="131"/>
      <c r="N32" s="131"/>
      <c r="O32" s="131"/>
      <c r="P32" s="426"/>
    </row>
    <row r="33" spans="1:16">
      <c r="A33" s="433">
        <f t="shared" ref="A33:A44" si="2">+A32+1</f>
        <v>17</v>
      </c>
      <c r="B33" s="445" t="s">
        <v>512</v>
      </c>
      <c r="C33" s="443">
        <v>1370244</v>
      </c>
      <c r="D33" s="443"/>
      <c r="E33" s="443">
        <v>5516011</v>
      </c>
      <c r="F33" s="443"/>
      <c r="G33" s="443"/>
      <c r="J33" s="131"/>
      <c r="K33" s="131"/>
      <c r="L33" s="131"/>
      <c r="M33" s="131"/>
      <c r="N33" s="131"/>
      <c r="O33" s="131"/>
      <c r="P33" s="426"/>
    </row>
    <row r="34" spans="1:16">
      <c r="A34" s="433">
        <f t="shared" si="2"/>
        <v>18</v>
      </c>
      <c r="B34" s="445" t="s">
        <v>713</v>
      </c>
      <c r="C34" s="443">
        <v>1409679</v>
      </c>
      <c r="D34" s="443"/>
      <c r="E34" s="443">
        <v>5494489</v>
      </c>
      <c r="F34" s="443"/>
      <c r="G34" s="443"/>
      <c r="J34" s="131"/>
      <c r="K34" s="131"/>
      <c r="L34" s="131"/>
      <c r="M34" s="131"/>
      <c r="N34" s="131"/>
      <c r="O34" s="131"/>
      <c r="P34" s="426"/>
    </row>
    <row r="35" spans="1:16">
      <c r="A35" s="433">
        <f t="shared" si="2"/>
        <v>19</v>
      </c>
      <c r="B35" s="445" t="s">
        <v>321</v>
      </c>
      <c r="C35" s="443">
        <v>1445337</v>
      </c>
      <c r="D35" s="443"/>
      <c r="E35" s="443">
        <v>5644473</v>
      </c>
      <c r="F35" s="443"/>
      <c r="G35" s="443"/>
      <c r="J35" s="131"/>
      <c r="K35" s="131"/>
      <c r="L35" s="131"/>
      <c r="M35" s="131"/>
      <c r="N35" s="131"/>
      <c r="O35" s="131"/>
      <c r="P35" s="426"/>
    </row>
    <row r="36" spans="1:16">
      <c r="A36" s="433">
        <f t="shared" si="2"/>
        <v>20</v>
      </c>
      <c r="B36" s="445" t="s">
        <v>322</v>
      </c>
      <c r="C36" s="443">
        <v>1481071</v>
      </c>
      <c r="D36" s="443"/>
      <c r="E36" s="443">
        <v>5793269</v>
      </c>
      <c r="F36" s="443"/>
      <c r="G36" s="443"/>
      <c r="J36" s="131"/>
      <c r="K36" s="131"/>
      <c r="L36" s="131"/>
      <c r="M36" s="131"/>
      <c r="N36" s="131"/>
      <c r="O36" s="131"/>
      <c r="P36" s="426"/>
    </row>
    <row r="37" spans="1:16">
      <c r="A37" s="433">
        <f t="shared" si="2"/>
        <v>21</v>
      </c>
      <c r="B37" s="445" t="s">
        <v>48</v>
      </c>
      <c r="C37" s="443">
        <v>1527257</v>
      </c>
      <c r="D37" s="443"/>
      <c r="E37" s="443">
        <v>5838704</v>
      </c>
      <c r="F37" s="443"/>
      <c r="G37" s="443"/>
      <c r="J37" s="131"/>
      <c r="K37" s="131"/>
      <c r="L37" s="131"/>
      <c r="M37" s="131"/>
      <c r="N37" s="131"/>
      <c r="O37" s="131"/>
      <c r="P37" s="426"/>
    </row>
    <row r="38" spans="1:16">
      <c r="A38" s="433">
        <f t="shared" si="2"/>
        <v>22</v>
      </c>
      <c r="B38" s="445" t="s">
        <v>323</v>
      </c>
      <c r="C38" s="443">
        <v>1563339</v>
      </c>
      <c r="D38" s="443"/>
      <c r="E38" s="443">
        <v>5991744</v>
      </c>
      <c r="F38" s="443"/>
      <c r="G38" s="443"/>
      <c r="J38" s="131"/>
      <c r="K38" s="131"/>
      <c r="L38" s="131"/>
      <c r="M38" s="131"/>
      <c r="N38" s="131"/>
      <c r="O38" s="131"/>
      <c r="P38" s="426"/>
    </row>
    <row r="39" spans="1:16">
      <c r="A39" s="433">
        <f t="shared" si="2"/>
        <v>23</v>
      </c>
      <c r="B39" s="445" t="s">
        <v>714</v>
      </c>
      <c r="C39" s="443">
        <v>1599425</v>
      </c>
      <c r="D39" s="443"/>
      <c r="E39" s="443">
        <v>6148414</v>
      </c>
      <c r="F39" s="443"/>
      <c r="G39" s="443"/>
      <c r="J39" s="131"/>
      <c r="K39" s="131"/>
      <c r="L39" s="131"/>
      <c r="M39" s="131"/>
      <c r="N39" s="131"/>
      <c r="O39" s="131"/>
      <c r="P39" s="426"/>
    </row>
    <row r="40" spans="1:16">
      <c r="A40" s="433">
        <f t="shared" si="2"/>
        <v>24</v>
      </c>
      <c r="B40" s="445" t="s">
        <v>326</v>
      </c>
      <c r="C40" s="443">
        <v>1635512</v>
      </c>
      <c r="D40" s="443"/>
      <c r="E40" s="443">
        <v>6231885</v>
      </c>
      <c r="F40" s="443"/>
      <c r="G40" s="443"/>
      <c r="J40" s="131"/>
      <c r="K40" s="131"/>
      <c r="L40" s="131"/>
      <c r="M40" s="131"/>
      <c r="N40" s="131"/>
      <c r="O40" s="131"/>
      <c r="P40" s="426"/>
    </row>
    <row r="41" spans="1:16">
      <c r="A41" s="433">
        <f t="shared" si="2"/>
        <v>25</v>
      </c>
      <c r="B41" s="445" t="s">
        <v>513</v>
      </c>
      <c r="C41" s="443">
        <v>1671601</v>
      </c>
      <c r="D41" s="443"/>
      <c r="E41" s="443">
        <v>6392315</v>
      </c>
      <c r="F41" s="443"/>
      <c r="G41" s="443"/>
      <c r="J41" s="131"/>
      <c r="K41" s="131"/>
      <c r="L41" s="131"/>
      <c r="M41" s="131"/>
      <c r="N41" s="131"/>
      <c r="O41" s="131"/>
      <c r="P41" s="426"/>
    </row>
    <row r="42" spans="1:16">
      <c r="A42" s="433">
        <f t="shared" si="2"/>
        <v>26</v>
      </c>
      <c r="B42" s="445" t="s">
        <v>514</v>
      </c>
      <c r="C42" s="443">
        <v>1707934</v>
      </c>
      <c r="D42" s="443"/>
      <c r="E42" s="443">
        <v>6554196</v>
      </c>
      <c r="F42" s="443"/>
      <c r="G42" s="443"/>
      <c r="J42" s="131"/>
      <c r="K42" s="131"/>
      <c r="L42" s="131"/>
      <c r="M42" s="131"/>
      <c r="N42" s="131"/>
      <c r="O42" s="131"/>
      <c r="P42" s="426"/>
    </row>
    <row r="43" spans="1:16">
      <c r="A43" s="446">
        <f t="shared" si="2"/>
        <v>27</v>
      </c>
      <c r="B43" s="447" t="s">
        <v>715</v>
      </c>
      <c r="C43" s="443">
        <v>1745841</v>
      </c>
      <c r="D43" s="443"/>
      <c r="E43" s="443">
        <v>6559732</v>
      </c>
      <c r="F43" s="443"/>
      <c r="G43" s="443"/>
      <c r="J43" s="131"/>
      <c r="K43" s="131"/>
      <c r="L43" s="131"/>
      <c r="M43" s="131"/>
      <c r="N43" s="131"/>
      <c r="O43" s="131"/>
      <c r="P43" s="426"/>
    </row>
    <row r="44" spans="1:16" ht="13.5" thickBot="1">
      <c r="A44" s="448">
        <f t="shared" si="2"/>
        <v>28</v>
      </c>
      <c r="B44" s="1896" t="s">
        <v>1011</v>
      </c>
      <c r="C44" s="1897">
        <f>SUM(C31:C43)/13</f>
        <v>1526154.5384615385</v>
      </c>
      <c r="D44" s="1897">
        <f>SUM(D31:D43)/13</f>
        <v>0</v>
      </c>
      <c r="E44" s="1897">
        <f>SUM(E31:E43)/13</f>
        <v>5903900.923076923</v>
      </c>
      <c r="F44" s="1897">
        <f>SUM(F31:F43)/13</f>
        <v>0</v>
      </c>
      <c r="G44" s="1898">
        <f>SUM(G31:G43)/13</f>
        <v>0</v>
      </c>
      <c r="J44" s="131"/>
      <c r="K44" s="131"/>
      <c r="L44" s="131"/>
      <c r="M44" s="131"/>
      <c r="N44" s="131"/>
      <c r="O44" s="131"/>
      <c r="P44" s="426"/>
    </row>
    <row r="45" spans="1:16" ht="13.5" thickTop="1">
      <c r="A45" s="420"/>
      <c r="B45" s="449"/>
      <c r="C45" s="2137"/>
      <c r="D45" s="2137"/>
      <c r="E45" s="2137"/>
      <c r="F45" s="451"/>
      <c r="G45" s="451"/>
      <c r="H45" s="131"/>
      <c r="I45" s="131"/>
      <c r="J45" s="131"/>
      <c r="K45" s="131"/>
      <c r="L45" s="131"/>
      <c r="M45" s="131"/>
      <c r="N45" s="131"/>
      <c r="O45" s="131"/>
      <c r="P45" s="426"/>
    </row>
    <row r="46" spans="1:16" s="472" customFormat="1">
      <c r="A46" s="469">
        <f>+A44+1</f>
        <v>29</v>
      </c>
      <c r="B46" s="470" t="str">
        <f>"Transmission Accumulated,  net of GSU and Excluded- Ln "&amp;A24&amp;" Col "&amp;E9&amp;" less Ln "&amp;A44&amp;" Cols. "&amp;F29&amp;" &amp; "&amp;G29</f>
        <v>Transmission Accumulated,  net of GSU and Excluded- Ln 14 Col (d) less Ln 28 Cols. (e) &amp; (f)</v>
      </c>
      <c r="C46" s="471"/>
      <c r="D46" s="471"/>
      <c r="G46" s="473">
        <f>+E24-F44-G44</f>
        <v>181281105.23076922</v>
      </c>
      <c r="H46" s="474"/>
      <c r="I46" s="474"/>
      <c r="J46" s="474"/>
      <c r="K46" s="471"/>
      <c r="L46" s="471"/>
      <c r="M46" s="471"/>
      <c r="N46" s="475"/>
      <c r="O46" s="475"/>
      <c r="P46" s="476"/>
    </row>
    <row r="47" spans="1:16">
      <c r="A47" s="420"/>
      <c r="B47" s="449"/>
      <c r="C47" s="2139"/>
      <c r="D47" s="2137"/>
      <c r="E47" s="2139"/>
      <c r="F47" s="2140"/>
      <c r="G47" s="451"/>
      <c r="H47" s="451"/>
      <c r="I47" s="451"/>
      <c r="J47" s="451"/>
      <c r="K47" s="450"/>
      <c r="L47" s="450"/>
      <c r="M47" s="450"/>
      <c r="N47" s="454"/>
      <c r="O47" s="454"/>
      <c r="P47" s="426"/>
    </row>
    <row r="48" spans="1:16">
      <c r="A48" s="420"/>
      <c r="B48" s="449"/>
      <c r="C48" s="2137"/>
      <c r="D48" s="2137"/>
      <c r="E48" s="2137"/>
      <c r="F48" s="2140"/>
      <c r="G48" s="451"/>
      <c r="H48" s="451"/>
      <c r="I48" s="451"/>
      <c r="J48" s="451"/>
      <c r="K48" s="450"/>
      <c r="L48" s="450"/>
      <c r="M48" s="450"/>
      <c r="N48" s="454"/>
      <c r="O48" s="454"/>
      <c r="P48" s="426"/>
    </row>
    <row r="49" spans="1:8">
      <c r="A49" s="466"/>
      <c r="B49" s="466"/>
      <c r="C49" s="2141"/>
      <c r="D49" s="2141"/>
      <c r="E49" s="2141"/>
      <c r="F49" s="2141"/>
      <c r="G49" s="466"/>
      <c r="H49" s="466"/>
    </row>
    <row r="50" spans="1:8">
      <c r="A50" s="466"/>
      <c r="B50" s="466"/>
      <c r="C50" s="2141"/>
      <c r="D50" s="2141"/>
      <c r="E50" s="2141"/>
      <c r="F50" s="2141"/>
      <c r="G50" s="466"/>
      <c r="H50" s="466"/>
    </row>
    <row r="51" spans="1:8">
      <c r="C51" s="2142"/>
      <c r="D51" s="2142"/>
      <c r="E51" s="2142"/>
      <c r="F51" s="2142"/>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Transco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E9" sqref="E9"/>
    </sheetView>
  </sheetViews>
  <sheetFormatPr defaultColWidth="9.28515625" defaultRowHeight="12.75"/>
  <cols>
    <col min="1" max="1" width="9.28515625" style="478"/>
    <col min="2" max="3" width="27.7109375" style="478" customWidth="1"/>
    <col min="4" max="4" width="41.28515625" style="478" customWidth="1"/>
    <col min="5" max="16384" width="9.28515625" style="478"/>
  </cols>
  <sheetData>
    <row r="1" spans="1:13" ht="15">
      <c r="A1" s="477"/>
    </row>
    <row r="2" spans="1:13" ht="15">
      <c r="A2" s="2192" t="str">
        <f>+'OKT TCOS'!F4</f>
        <v xml:space="preserve">AEP West SPP Member Transmission Companies </v>
      </c>
      <c r="B2" s="2192"/>
      <c r="C2" s="2192"/>
      <c r="D2" s="2192"/>
      <c r="E2" s="275"/>
      <c r="F2" s="275"/>
      <c r="G2" s="275"/>
      <c r="H2" s="275"/>
      <c r="I2" s="275"/>
      <c r="J2" s="275"/>
      <c r="K2" s="275"/>
      <c r="L2" s="275"/>
      <c r="M2" s="275"/>
    </row>
    <row r="3" spans="1:13" ht="15">
      <c r="A3" s="2186" t="str">
        <f>+'OKT WS A-1 - Plant'!A3</f>
        <v xml:space="preserve">Actual / Projected 2022 Rate Year Cost of Service Formula Rate </v>
      </c>
      <c r="B3" s="2186"/>
      <c r="C3" s="2186"/>
      <c r="D3" s="2186"/>
      <c r="E3" s="419"/>
      <c r="F3" s="419"/>
      <c r="G3" s="419"/>
      <c r="H3" s="419"/>
      <c r="I3" s="419"/>
      <c r="J3" s="419"/>
      <c r="K3" s="419"/>
      <c r="L3" s="419"/>
      <c r="M3" s="419"/>
    </row>
    <row r="4" spans="1:13" ht="15.75">
      <c r="A4" s="2187" t="s">
        <v>624</v>
      </c>
      <c r="B4" s="2187"/>
      <c r="C4" s="2187"/>
      <c r="D4" s="2187"/>
      <c r="E4" s="419"/>
      <c r="F4" s="419"/>
      <c r="G4" s="419"/>
      <c r="H4" s="419"/>
      <c r="I4" s="419"/>
      <c r="J4" s="419"/>
      <c r="K4" s="419"/>
      <c r="L4" s="419"/>
      <c r="M4" s="419"/>
    </row>
    <row r="5" spans="1:13" ht="15.75">
      <c r="A5" s="2193" t="str">
        <f>+'OKT TCOS'!F8</f>
        <v>AEP OKLAHOMA TRANSMISSION COMPANY, INC.</v>
      </c>
      <c r="B5" s="2193"/>
      <c r="C5" s="2193"/>
      <c r="D5" s="2193"/>
      <c r="E5" s="479"/>
      <c r="F5" s="479"/>
      <c r="G5" s="479"/>
      <c r="H5" s="479"/>
      <c r="I5" s="479"/>
      <c r="J5" s="479"/>
      <c r="K5" s="479"/>
      <c r="L5" s="479"/>
      <c r="M5" s="479"/>
    </row>
    <row r="6" spans="1:13">
      <c r="A6" s="480"/>
      <c r="B6" s="480"/>
      <c r="C6" s="480"/>
      <c r="D6" s="480"/>
    </row>
    <row r="7" spans="1:13" ht="14.25">
      <c r="A7" s="481" t="s">
        <v>524</v>
      </c>
      <c r="B7" s="482"/>
      <c r="C7" s="483" t="s">
        <v>342</v>
      </c>
      <c r="D7" s="484" t="s">
        <v>306</v>
      </c>
    </row>
    <row r="8" spans="1:13" ht="15">
      <c r="A8" s="485"/>
      <c r="B8" s="486"/>
      <c r="C8" s="487"/>
      <c r="D8" s="487"/>
    </row>
    <row r="9" spans="1:13" ht="14.25">
      <c r="A9" s="488">
        <v>1</v>
      </c>
      <c r="B9" s="489" t="s">
        <v>526</v>
      </c>
      <c r="C9" s="490"/>
      <c r="D9" s="443">
        <v>0</v>
      </c>
      <c r="E9" s="493"/>
    </row>
    <row r="10" spans="1:13" ht="14.25">
      <c r="A10" s="490"/>
      <c r="B10" s="490"/>
      <c r="C10" s="490"/>
      <c r="D10" s="490"/>
    </row>
    <row r="11" spans="1:13" ht="14.25">
      <c r="A11" s="490"/>
      <c r="B11" s="490"/>
      <c r="C11" s="490"/>
      <c r="D11" s="490"/>
    </row>
    <row r="12" spans="1:13" ht="119.25" customHeight="1">
      <c r="A12" s="491" t="s">
        <v>525</v>
      </c>
      <c r="B12" s="2194" t="s">
        <v>619</v>
      </c>
      <c r="C12" s="2194"/>
      <c r="D12" s="2194"/>
    </row>
    <row r="13" spans="1:13" ht="14.25">
      <c r="A13" s="490"/>
      <c r="B13" s="490"/>
      <c r="C13" s="490"/>
      <c r="D13" s="490"/>
    </row>
    <row r="14" spans="1:13" ht="14.25">
      <c r="A14" s="490"/>
      <c r="B14" s="490"/>
      <c r="C14" s="490"/>
      <c r="D14" s="490"/>
    </row>
    <row r="15" spans="1:13" s="493" customFormat="1" ht="14.25">
      <c r="A15" s="492"/>
      <c r="B15" s="492"/>
      <c r="C15" s="492"/>
      <c r="D15" s="492"/>
    </row>
    <row r="16" spans="1:13" s="493" customFormat="1" ht="14.25">
      <c r="A16" s="494"/>
      <c r="B16" s="495"/>
      <c r="C16" s="492"/>
      <c r="D16" s="492"/>
    </row>
    <row r="17" spans="1:2" ht="15" customHeight="1">
      <c r="A17" s="496"/>
    </row>
    <row r="18" spans="1:2" ht="15.75">
      <c r="B18" s="497"/>
    </row>
    <row r="19" spans="1:2" ht="15.75">
      <c r="B19" s="497"/>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zoomScale="81" zoomScaleNormal="81" zoomScaleSheetLayoutView="93" zoomScalePageLayoutView="80" workbookViewId="0">
      <selection activeCell="L36" sqref="L36"/>
    </sheetView>
  </sheetViews>
  <sheetFormatPr defaultColWidth="9.28515625" defaultRowHeight="12.75"/>
  <cols>
    <col min="1" max="2" width="9.7109375" style="499" customWidth="1"/>
    <col min="3" max="3" width="50.7109375" style="500" customWidth="1"/>
    <col min="4" max="10" width="16.7109375" style="500" customWidth="1"/>
    <col min="11" max="11" width="13.7109375" style="500" customWidth="1"/>
    <col min="12" max="16384" width="9.28515625" style="500"/>
  </cols>
  <sheetData>
    <row r="1" spans="1:16" ht="15">
      <c r="A1" s="498"/>
    </row>
    <row r="2" spans="1:16" ht="18">
      <c r="A2" s="2197" t="str">
        <f>+'OKT TCOS'!F4</f>
        <v xml:space="preserve">AEP West SPP Member Transmission Companies </v>
      </c>
      <c r="B2" s="2197"/>
      <c r="C2" s="2197"/>
      <c r="D2" s="2197"/>
      <c r="E2" s="2197"/>
      <c r="F2" s="2197"/>
      <c r="G2" s="2197"/>
      <c r="H2" s="2197"/>
      <c r="I2" s="2197"/>
      <c r="J2" s="2197"/>
      <c r="K2" s="501"/>
      <c r="L2" s="493"/>
      <c r="M2" s="493"/>
      <c r="N2" s="493"/>
      <c r="O2" s="493"/>
      <c r="P2" s="493"/>
    </row>
    <row r="3" spans="1:16" ht="18">
      <c r="A3" s="2198" t="str">
        <f>+'OKT WS A-1 - Plant'!A3</f>
        <v xml:space="preserve">Actual / Projected 2022 Rate Year Cost of Service Formula Rate </v>
      </c>
      <c r="B3" s="2198"/>
      <c r="C3" s="2198"/>
      <c r="D3" s="2198"/>
      <c r="E3" s="2198"/>
      <c r="F3" s="2198"/>
      <c r="G3" s="2198"/>
      <c r="H3" s="2198"/>
      <c r="I3" s="2198"/>
      <c r="J3" s="2198"/>
      <c r="K3" s="501"/>
      <c r="L3" s="493"/>
      <c r="M3" s="493"/>
      <c r="N3" s="493"/>
      <c r="O3" s="493"/>
      <c r="P3" s="493"/>
    </row>
    <row r="4" spans="1:16" ht="18">
      <c r="A4" s="2198" t="s">
        <v>527</v>
      </c>
      <c r="B4" s="2198"/>
      <c r="C4" s="2198"/>
      <c r="D4" s="2198"/>
      <c r="E4" s="2198"/>
      <c r="F4" s="2198"/>
      <c r="G4" s="2198"/>
      <c r="H4" s="2198"/>
      <c r="I4" s="2198"/>
      <c r="J4" s="2198"/>
    </row>
    <row r="5" spans="1:16" ht="18">
      <c r="A5" s="2199" t="str">
        <f>+'OKT TCOS'!F8</f>
        <v>AEP OKLAHOMA TRANSMISSION COMPANY, INC.</v>
      </c>
      <c r="B5" s="2199"/>
      <c r="C5" s="2199"/>
      <c r="D5" s="2199"/>
      <c r="E5" s="2199"/>
      <c r="F5" s="2199"/>
      <c r="G5" s="2199"/>
      <c r="H5" s="2199"/>
      <c r="I5" s="2199"/>
      <c r="J5" s="2199"/>
    </row>
    <row r="6" spans="1:16" ht="20.25">
      <c r="B6" s="502"/>
      <c r="C6" s="503"/>
      <c r="D6" s="503"/>
      <c r="E6" s="504"/>
      <c r="F6" s="503"/>
      <c r="G6" s="503"/>
      <c r="H6" s="503"/>
      <c r="I6" s="503"/>
      <c r="J6" s="504"/>
    </row>
    <row r="7" spans="1:16" ht="20.25">
      <c r="B7" s="502"/>
      <c r="C7" s="504" t="s">
        <v>251</v>
      </c>
      <c r="D7" s="503"/>
      <c r="E7" s="504"/>
      <c r="F7" s="503"/>
      <c r="G7" s="503"/>
      <c r="H7" s="503"/>
      <c r="I7" s="503"/>
      <c r="J7" s="503"/>
    </row>
    <row r="8" spans="1:16">
      <c r="C8" s="505"/>
      <c r="G8" s="499"/>
      <c r="H8" s="499"/>
      <c r="I8" s="499"/>
    </row>
    <row r="9" spans="1:16">
      <c r="B9" s="506" t="s">
        <v>298</v>
      </c>
      <c r="C9" s="506" t="s">
        <v>299</v>
      </c>
      <c r="D9" s="506" t="s">
        <v>300</v>
      </c>
      <c r="E9" s="506" t="s">
        <v>226</v>
      </c>
      <c r="F9" s="506" t="s">
        <v>227</v>
      </c>
      <c r="G9" s="506" t="s">
        <v>228</v>
      </c>
      <c r="H9" s="506" t="s">
        <v>233</v>
      </c>
      <c r="I9" s="506" t="s">
        <v>174</v>
      </c>
      <c r="J9" s="506" t="s">
        <v>73</v>
      </c>
    </row>
    <row r="10" spans="1:16">
      <c r="E10" s="507" t="s">
        <v>251</v>
      </c>
      <c r="F10" s="508" t="s">
        <v>229</v>
      </c>
      <c r="G10" s="506" t="s">
        <v>155</v>
      </c>
      <c r="H10" s="506" t="s">
        <v>74</v>
      </c>
      <c r="I10" s="506" t="s">
        <v>251</v>
      </c>
      <c r="J10" s="506" t="s">
        <v>314</v>
      </c>
    </row>
    <row r="11" spans="1:16">
      <c r="A11" s="506" t="s">
        <v>305</v>
      </c>
      <c r="C11" s="509"/>
      <c r="D11" s="506"/>
      <c r="E11" s="506" t="s">
        <v>251</v>
      </c>
      <c r="F11" s="506" t="s">
        <v>252</v>
      </c>
      <c r="G11" s="506" t="s">
        <v>190</v>
      </c>
      <c r="H11" s="506" t="s">
        <v>75</v>
      </c>
      <c r="I11" s="506" t="s">
        <v>297</v>
      </c>
      <c r="J11" s="506" t="s">
        <v>72</v>
      </c>
    </row>
    <row r="12" spans="1:16">
      <c r="A12" s="510" t="s">
        <v>254</v>
      </c>
      <c r="B12" s="510" t="s">
        <v>232</v>
      </c>
      <c r="C12" s="510" t="s">
        <v>303</v>
      </c>
      <c r="D12" s="510" t="s">
        <v>230</v>
      </c>
      <c r="E12" s="510" t="s">
        <v>76</v>
      </c>
      <c r="F12" s="510" t="s">
        <v>191</v>
      </c>
      <c r="G12" s="510" t="s">
        <v>191</v>
      </c>
      <c r="H12" s="510" t="s">
        <v>77</v>
      </c>
      <c r="I12" s="510" t="s">
        <v>191</v>
      </c>
      <c r="J12" s="510" t="s">
        <v>1023</v>
      </c>
    </row>
    <row r="13" spans="1:16">
      <c r="C13" s="505"/>
      <c r="G13" s="499"/>
      <c r="H13" s="499"/>
      <c r="I13" s="499"/>
    </row>
    <row r="14" spans="1:16" ht="12.75" customHeight="1">
      <c r="C14" s="509"/>
      <c r="G14" s="499"/>
      <c r="H14" s="499"/>
      <c r="I14" s="499"/>
    </row>
    <row r="15" spans="1:16" ht="12.75" customHeight="1">
      <c r="B15" s="511" t="s">
        <v>501</v>
      </c>
      <c r="C15" s="509"/>
      <c r="G15" s="499"/>
      <c r="H15" s="499"/>
      <c r="I15" s="499"/>
    </row>
    <row r="16" spans="1:16" ht="12.75" customHeight="1">
      <c r="C16" s="509"/>
      <c r="G16" s="499"/>
      <c r="H16" s="499"/>
      <c r="I16" s="499"/>
    </row>
    <row r="17" spans="1:10" ht="15.75">
      <c r="C17" s="512" t="s">
        <v>503</v>
      </c>
      <c r="D17"/>
    </row>
    <row r="18" spans="1:10" ht="6" customHeight="1">
      <c r="C18" s="513"/>
    </row>
    <row r="19" spans="1:10" ht="12.75" customHeight="1">
      <c r="A19" s="499">
        <v>1</v>
      </c>
      <c r="B19" s="514" t="s">
        <v>80</v>
      </c>
      <c r="C19" s="515" t="str">
        <f>""&amp;'OKT TCOS'!N2&amp;" Year End Tax Deferrals - WS C-1"</f>
        <v>2022 Year End Tax Deferrals - WS C-1</v>
      </c>
      <c r="D19" s="516">
        <f>+'OKT WS C-1 ADIT EOY'!H29</f>
        <v>-178424610.39000002</v>
      </c>
      <c r="E19" s="516">
        <f>+'OKT WS C-1 ADIT EOY'!J29</f>
        <v>-38695662.832376286</v>
      </c>
      <c r="F19" s="516">
        <f>+'OKT WS C-1 ADIT EOY'!K29</f>
        <v>-138000704.78762373</v>
      </c>
      <c r="G19" s="516">
        <f>+'OKT WS C-1 ADIT EOY'!L29</f>
        <v>0</v>
      </c>
      <c r="H19" s="516">
        <f>+'OKT WS C-1 ADIT EOY'!M29</f>
        <v>0</v>
      </c>
      <c r="I19" s="516">
        <f>+'OKT WS C-1 ADIT EOY'!N29</f>
        <v>-1728242.77</v>
      </c>
      <c r="J19" s="517"/>
    </row>
    <row r="20" spans="1:10" ht="12.75" customHeight="1">
      <c r="A20" s="499">
        <f>+A19+1</f>
        <v>2</v>
      </c>
      <c r="B20" s="514" t="s">
        <v>80</v>
      </c>
      <c r="C20" s="515" t="str">
        <f>""&amp;'OKT TCOS'!N2-1&amp;" Year End Tax Deferrals - WS C-2"</f>
        <v>2021 Year End Tax Deferrals - WS C-2</v>
      </c>
      <c r="D20" s="516">
        <f>+'OKT WS C-2 ADIT BOY'!H29</f>
        <v>-175380404.88</v>
      </c>
      <c r="E20" s="516">
        <f>+'OKT WS C-2 ADIT BOY'!J29</f>
        <v>-38584715.455128133</v>
      </c>
      <c r="F20" s="516">
        <f>+'OKT WS C-2 ADIT BOY'!K29</f>
        <v>-133314820.20487185</v>
      </c>
      <c r="G20" s="516">
        <f>+'OKT WS C-2 ADIT BOY'!L29</f>
        <v>0</v>
      </c>
      <c r="H20" s="516">
        <f>+'OKT WS C-2 ADIT BOY'!M29</f>
        <v>0</v>
      </c>
      <c r="I20" s="516">
        <f>+'OKT WS C-2 ADIT BOY'!N29</f>
        <v>-2353716.2200000002</v>
      </c>
      <c r="J20" s="499"/>
    </row>
    <row r="21" spans="1:10" ht="12.75" customHeight="1">
      <c r="B21" s="518" t="s">
        <v>251</v>
      </c>
      <c r="D21" s="519"/>
      <c r="E21" s="520"/>
      <c r="F21" s="519"/>
      <c r="G21" s="519" t="s">
        <v>251</v>
      </c>
      <c r="H21" s="519"/>
      <c r="I21" s="519"/>
    </row>
    <row r="22" spans="1:10" ht="12.75" customHeight="1">
      <c r="A22" s="499">
        <f>+A20+1</f>
        <v>3</v>
      </c>
      <c r="C22" s="509" t="s">
        <v>78</v>
      </c>
      <c r="D22" s="521">
        <f t="shared" ref="D22:I22" si="0">D19+D20</f>
        <v>-353805015.26999998</v>
      </c>
      <c r="E22" s="521">
        <f t="shared" si="0"/>
        <v>-77280378.28750442</v>
      </c>
      <c r="F22" s="521">
        <f t="shared" si="0"/>
        <v>-271315524.9924956</v>
      </c>
      <c r="G22" s="521">
        <f t="shared" si="0"/>
        <v>0</v>
      </c>
      <c r="H22" s="521">
        <f t="shared" si="0"/>
        <v>0</v>
      </c>
      <c r="I22" s="521">
        <f t="shared" si="0"/>
        <v>-4081958.99</v>
      </c>
      <c r="J22" s="522"/>
    </row>
    <row r="23" spans="1:10" ht="12.75" customHeight="1">
      <c r="A23" s="499">
        <f>+A22+1</f>
        <v>4</v>
      </c>
      <c r="C23" s="509" t="s">
        <v>614</v>
      </c>
      <c r="D23" s="523">
        <f t="shared" ref="D23:I23" si="1">D22/2</f>
        <v>-176902507.63499999</v>
      </c>
      <c r="E23" s="523">
        <f t="shared" si="1"/>
        <v>-38640189.14375221</v>
      </c>
      <c r="F23" s="523">
        <f t="shared" si="1"/>
        <v>-135657762.4962478</v>
      </c>
      <c r="G23" s="523">
        <f t="shared" si="1"/>
        <v>0</v>
      </c>
      <c r="H23" s="524">
        <f t="shared" si="1"/>
        <v>0</v>
      </c>
      <c r="I23" s="521">
        <f t="shared" si="1"/>
        <v>-2040979.4950000001</v>
      </c>
      <c r="J23" s="522"/>
    </row>
    <row r="24" spans="1:10" ht="12.75" customHeight="1">
      <c r="A24" s="499">
        <f>+A23+1</f>
        <v>5</v>
      </c>
      <c r="B24" s="525"/>
      <c r="C24" s="526" t="str">
        <f>"Proration Adjustment - WS C-3, Ln "&amp;'OKT WS C-3 ADIT Proration'!A34</f>
        <v>Proration Adjustment - WS C-3, Ln 19</v>
      </c>
      <c r="D24" s="523"/>
      <c r="E24" s="523"/>
      <c r="F24" s="523"/>
      <c r="G24" s="523">
        <f>'OKT WS C-3 ADIT Proration'!I34</f>
        <v>0</v>
      </c>
      <c r="H24" s="524"/>
      <c r="I24" s="527"/>
      <c r="J24" s="522"/>
    </row>
    <row r="25" spans="1:10" ht="12.75" customHeight="1">
      <c r="A25" s="499">
        <f>+A24+1</f>
        <v>6</v>
      </c>
      <c r="C25" s="509" t="s">
        <v>523</v>
      </c>
      <c r="D25" s="528">
        <f t="shared" ref="D25:I25" si="2">+D23+D24</f>
        <v>-176902507.63499999</v>
      </c>
      <c r="E25" s="528">
        <f t="shared" si="2"/>
        <v>-38640189.14375221</v>
      </c>
      <c r="F25" s="528">
        <f t="shared" si="2"/>
        <v>-135657762.4962478</v>
      </c>
      <c r="G25" s="528">
        <f t="shared" si="2"/>
        <v>0</v>
      </c>
      <c r="H25" s="528">
        <f t="shared" si="2"/>
        <v>0</v>
      </c>
      <c r="I25" s="528">
        <f t="shared" si="2"/>
        <v>-2040979.4950000001</v>
      </c>
      <c r="J25" s="522"/>
    </row>
    <row r="26" spans="1:10" ht="12.75" customHeight="1">
      <c r="A26" s="499">
        <f>+A25+1</f>
        <v>7</v>
      </c>
      <c r="B26" s="529"/>
      <c r="C26" s="530" t="s">
        <v>615</v>
      </c>
      <c r="D26" s="531"/>
      <c r="E26" s="532">
        <v>0</v>
      </c>
      <c r="F26" s="532">
        <v>1</v>
      </c>
      <c r="G26" s="532">
        <f>'OKT TCOS'!J63</f>
        <v>0.99999930414784022</v>
      </c>
      <c r="H26" s="532">
        <f>'OKT TCOS'!J64</f>
        <v>1</v>
      </c>
      <c r="I26" s="532">
        <f>'OKT TCOS'!L221</f>
        <v>0.99999930414784033</v>
      </c>
    </row>
    <row r="27" spans="1:10" ht="12.75" customHeight="1">
      <c r="A27" s="499">
        <f>+A26+1</f>
        <v>8</v>
      </c>
      <c r="C27" s="509" t="s">
        <v>79</v>
      </c>
      <c r="E27" s="522">
        <f>E26*E25</f>
        <v>0</v>
      </c>
      <c r="F27" s="522">
        <f>F26*F25</f>
        <v>-135657762.4962478</v>
      </c>
      <c r="G27" s="522">
        <f>G26*G25</f>
        <v>0</v>
      </c>
      <c r="H27" s="522">
        <f>H26*H25</f>
        <v>0</v>
      </c>
      <c r="I27" s="522">
        <f>I26*I25</f>
        <v>-2040978.0747800106</v>
      </c>
      <c r="J27" s="533">
        <f>SUM(F27:I27)</f>
        <v>-137698740.57102782</v>
      </c>
    </row>
    <row r="28" spans="1:10" ht="12.75" customHeight="1">
      <c r="C28" s="513"/>
    </row>
    <row r="29" spans="1:10" ht="12.75" customHeight="1">
      <c r="C29" s="513"/>
    </row>
    <row r="30" spans="1:10" ht="12.75" customHeight="1">
      <c r="C30" s="512" t="s">
        <v>504</v>
      </c>
      <c r="D30"/>
    </row>
    <row r="31" spans="1:10" ht="6" customHeight="1">
      <c r="C31" s="513"/>
    </row>
    <row r="32" spans="1:10" ht="12.75" customHeight="1">
      <c r="A32" s="499">
        <f>+A27:B27+1</f>
        <v>9</v>
      </c>
      <c r="B32" s="514" t="s">
        <v>91</v>
      </c>
      <c r="C32" s="515" t="str">
        <f>+C19</f>
        <v>2022 Year End Tax Deferrals - WS C-1</v>
      </c>
      <c r="D32" s="516">
        <f>+'OKT WS C-1 ADIT EOY'!H44</f>
        <v>-33092569.27</v>
      </c>
      <c r="E32" s="516">
        <f>+'OKT WS C-1 ADIT EOY'!J44</f>
        <v>-7973014.0300000003</v>
      </c>
      <c r="F32" s="516">
        <f>+'OKT WS C-1 ADIT EOY'!K44</f>
        <v>-25119555.239999998</v>
      </c>
      <c r="G32" s="516">
        <f>+'OKT WS C-1 ADIT EOY'!L44</f>
        <v>0</v>
      </c>
      <c r="H32" s="516">
        <f>+'OKT WS C-1 ADIT EOY'!M44</f>
        <v>0</v>
      </c>
      <c r="I32" s="516">
        <f>+'OKT WS C-1 ADIT EOY'!N44</f>
        <v>0</v>
      </c>
      <c r="J32" s="517"/>
    </row>
    <row r="33" spans="1:10" ht="12.75" customHeight="1">
      <c r="A33" s="499">
        <f>+A32+1</f>
        <v>10</v>
      </c>
      <c r="B33" s="514" t="s">
        <v>91</v>
      </c>
      <c r="C33" s="515" t="str">
        <f>+C20</f>
        <v>2021 Year End Tax Deferrals - WS C-2</v>
      </c>
      <c r="D33" s="516">
        <f>+'OKT WS C-2 ADIT BOY'!H44</f>
        <v>-30832183.93</v>
      </c>
      <c r="E33" s="516">
        <f>+'OKT WS C-2 ADIT BOY'!J44</f>
        <v>-8589599.6899999995</v>
      </c>
      <c r="F33" s="516">
        <f>+'OKT WS C-2 ADIT BOY'!K44</f>
        <v>-24356816.239999998</v>
      </c>
      <c r="G33" s="516">
        <f>+'OKT WS C-2 ADIT BOY'!L44</f>
        <v>0</v>
      </c>
      <c r="H33" s="516">
        <f>+'OKT WS C-2 ADIT BOY'!M44</f>
        <v>0</v>
      </c>
      <c r="I33" s="516">
        <f>+'OKT WS C-2 ADIT BOY'!N44</f>
        <v>0</v>
      </c>
      <c r="J33" s="499"/>
    </row>
    <row r="34" spans="1:10" ht="12.75" customHeight="1">
      <c r="B34" s="518" t="s">
        <v>251</v>
      </c>
      <c r="D34" s="519"/>
      <c r="E34" s="520"/>
      <c r="F34" s="519"/>
      <c r="G34" s="519" t="s">
        <v>251</v>
      </c>
      <c r="H34" s="519"/>
      <c r="I34" s="519"/>
    </row>
    <row r="35" spans="1:10" ht="12.75" customHeight="1">
      <c r="A35" s="499">
        <f>+A33+1</f>
        <v>11</v>
      </c>
      <c r="C35" s="509" t="s">
        <v>78</v>
      </c>
      <c r="D35" s="521">
        <f t="shared" ref="D35:I35" si="3">D32+D33</f>
        <v>-63924753.200000003</v>
      </c>
      <c r="E35" s="521">
        <f t="shared" si="3"/>
        <v>-16562613.719999999</v>
      </c>
      <c r="F35" s="521">
        <f t="shared" si="3"/>
        <v>-49476371.479999997</v>
      </c>
      <c r="G35" s="521">
        <f t="shared" si="3"/>
        <v>0</v>
      </c>
      <c r="H35" s="521">
        <f t="shared" si="3"/>
        <v>0</v>
      </c>
      <c r="I35" s="521">
        <f t="shared" si="3"/>
        <v>0</v>
      </c>
      <c r="J35" s="522"/>
    </row>
    <row r="36" spans="1:10" ht="12.75" customHeight="1">
      <c r="A36" s="499">
        <f>+A35+1</f>
        <v>12</v>
      </c>
      <c r="C36" s="509" t="s">
        <v>349</v>
      </c>
      <c r="D36" s="523">
        <f t="shared" ref="D36:I36" si="4">D35/2</f>
        <v>-31962376.600000001</v>
      </c>
      <c r="E36" s="523">
        <f t="shared" si="4"/>
        <v>-8281306.8599999994</v>
      </c>
      <c r="F36" s="523">
        <f t="shared" si="4"/>
        <v>-24738185.739999998</v>
      </c>
      <c r="G36" s="523">
        <f t="shared" si="4"/>
        <v>0</v>
      </c>
      <c r="H36" s="523">
        <f t="shared" si="4"/>
        <v>0</v>
      </c>
      <c r="I36" s="523">
        <f t="shared" si="4"/>
        <v>0</v>
      </c>
      <c r="J36" s="522"/>
    </row>
    <row r="37" spans="1:10" ht="12.75" customHeight="1">
      <c r="A37" s="499">
        <f>+A36+1</f>
        <v>13</v>
      </c>
      <c r="B37" s="529"/>
      <c r="C37" s="530" t="s">
        <v>616</v>
      </c>
      <c r="D37" s="531"/>
      <c r="E37" s="532">
        <f>E26</f>
        <v>0</v>
      </c>
      <c r="F37" s="532">
        <f>F26</f>
        <v>1</v>
      </c>
      <c r="G37" s="532">
        <f>G26</f>
        <v>0.99999930414784022</v>
      </c>
      <c r="H37" s="532">
        <f>H26</f>
        <v>1</v>
      </c>
      <c r="I37" s="532">
        <f>I26</f>
        <v>0.99999930414784033</v>
      </c>
    </row>
    <row r="38" spans="1:10" ht="12.75" customHeight="1">
      <c r="A38" s="499">
        <f>+A37+1</f>
        <v>14</v>
      </c>
      <c r="C38" s="509" t="s">
        <v>79</v>
      </c>
      <c r="E38" s="522">
        <f>E36*E37</f>
        <v>0</v>
      </c>
      <c r="F38" s="522">
        <f>F36*F37</f>
        <v>-24738185.739999998</v>
      </c>
      <c r="G38" s="522">
        <f>G36*G37</f>
        <v>0</v>
      </c>
      <c r="H38" s="522">
        <f>H36*H37</f>
        <v>0</v>
      </c>
      <c r="I38" s="522">
        <f>I36*I37</f>
        <v>0</v>
      </c>
      <c r="J38" s="533">
        <f>SUM(F38:I38)</f>
        <v>-24738185.739999998</v>
      </c>
    </row>
    <row r="39" spans="1:10" ht="12.75" customHeight="1">
      <c r="C39" s="513"/>
    </row>
    <row r="40" spans="1:10" ht="12.75" customHeight="1">
      <c r="B40" s="534"/>
      <c r="C40" s="535"/>
      <c r="D40" s="535"/>
      <c r="E40" s="535"/>
      <c r="F40" s="535"/>
      <c r="G40" s="535"/>
      <c r="H40" s="535"/>
      <c r="I40" s="535"/>
      <c r="J40" s="535"/>
    </row>
    <row r="41" spans="1:10" ht="12.75" customHeight="1">
      <c r="C41" s="509"/>
      <c r="E41" s="522"/>
      <c r="F41" s="522"/>
      <c r="G41" s="522"/>
      <c r="H41" s="522"/>
      <c r="I41" s="522"/>
      <c r="J41" s="536"/>
    </row>
    <row r="42" spans="1:10" ht="15.75">
      <c r="C42" s="512" t="s">
        <v>502</v>
      </c>
    </row>
    <row r="43" spans="1:10" ht="12.75" customHeight="1">
      <c r="D43"/>
      <c r="I43" s="537"/>
    </row>
    <row r="44" spans="1:10" ht="12.75" customHeight="1">
      <c r="A44" s="499">
        <f>+A38+1</f>
        <v>15</v>
      </c>
      <c r="B44" s="538">
        <v>190.1</v>
      </c>
      <c r="C44" s="515" t="str">
        <f>+C19</f>
        <v>2022 Year End Tax Deferrals - WS C-1</v>
      </c>
      <c r="D44" s="516">
        <f>+'OKT WS C-1 ADIT EOY'!H64</f>
        <v>14125699.889999997</v>
      </c>
      <c r="E44" s="516">
        <f>+'OKT WS C-1 ADIT EOY'!J64</f>
        <v>-15748967.797905188</v>
      </c>
      <c r="F44" s="516">
        <f>+'OKT WS C-1 ADIT EOY'!K64</f>
        <v>5565807.4799999995</v>
      </c>
      <c r="G44" s="516">
        <f>+'OKT WS C-1 ADIT EOY'!L64</f>
        <v>24334023.05790519</v>
      </c>
      <c r="H44" s="516">
        <f>+'OKT WS C-1 ADIT EOY'!M64</f>
        <v>0</v>
      </c>
      <c r="I44" s="516">
        <f>+'OKT WS C-1 ADIT EOY'!N64</f>
        <v>-25162.85</v>
      </c>
      <c r="J44" s="517"/>
    </row>
    <row r="45" spans="1:10">
      <c r="A45" s="499">
        <f>+A44+1</f>
        <v>16</v>
      </c>
      <c r="B45" s="538">
        <v>190.1</v>
      </c>
      <c r="C45" s="515" t="str">
        <f>+C20</f>
        <v>2021 Year End Tax Deferrals - WS C-2</v>
      </c>
      <c r="D45" s="516">
        <f>+'OKT WS C-2 ADIT BOY'!H64</f>
        <v>15013658.930000003</v>
      </c>
      <c r="E45" s="516">
        <f>+'OKT WS C-2 ADIT BOY'!J64</f>
        <v>-30283648.696105193</v>
      </c>
      <c r="F45" s="516">
        <f>+'OKT WS C-2 ADIT BOY'!K64</f>
        <v>5310483.1400000006</v>
      </c>
      <c r="G45" s="516">
        <f>+'OKT WS C-2 ADIT BOY'!L64</f>
        <v>40000668.686105192</v>
      </c>
      <c r="H45" s="516">
        <f>+'OKT WS C-2 ADIT BOY'!M64</f>
        <v>0</v>
      </c>
      <c r="I45" s="516">
        <f>+'OKT WS C-2 ADIT BOY'!N64</f>
        <v>-13844.2</v>
      </c>
      <c r="J45" s="499"/>
    </row>
    <row r="46" spans="1:10">
      <c r="B46" s="518" t="s">
        <v>251</v>
      </c>
      <c r="D46" s="519"/>
      <c r="E46" s="520"/>
      <c r="F46" s="519"/>
      <c r="G46" s="519" t="s">
        <v>251</v>
      </c>
      <c r="H46" s="519"/>
      <c r="I46" s="519"/>
    </row>
    <row r="47" spans="1:10">
      <c r="A47" s="499">
        <f>+A45+1</f>
        <v>17</v>
      </c>
      <c r="C47" s="509" t="s">
        <v>78</v>
      </c>
      <c r="D47" s="521">
        <f t="shared" ref="D47:I47" si="5">D44+D45</f>
        <v>29139358.82</v>
      </c>
      <c r="E47" s="521">
        <f t="shared" si="5"/>
        <v>-46032616.494010381</v>
      </c>
      <c r="F47" s="521">
        <f t="shared" si="5"/>
        <v>10876290.620000001</v>
      </c>
      <c r="G47" s="521">
        <f t="shared" si="5"/>
        <v>64334691.744010381</v>
      </c>
      <c r="H47" s="521">
        <f t="shared" si="5"/>
        <v>0</v>
      </c>
      <c r="I47" s="521">
        <f t="shared" si="5"/>
        <v>-39007.050000000003</v>
      </c>
      <c r="J47" s="522"/>
    </row>
    <row r="48" spans="1:10">
      <c r="A48" s="499">
        <f>+A47+1</f>
        <v>18</v>
      </c>
      <c r="C48" s="509" t="s">
        <v>614</v>
      </c>
      <c r="D48" s="524">
        <f t="shared" ref="D48:I48" si="6">D47/2</f>
        <v>14569679.41</v>
      </c>
      <c r="E48" s="524">
        <f t="shared" si="6"/>
        <v>-23016308.247005191</v>
      </c>
      <c r="F48" s="524">
        <f t="shared" si="6"/>
        <v>5438145.3100000005</v>
      </c>
      <c r="G48" s="524">
        <f t="shared" si="6"/>
        <v>32167345.872005191</v>
      </c>
      <c r="H48" s="524">
        <f t="shared" si="6"/>
        <v>0</v>
      </c>
      <c r="I48" s="524">
        <f t="shared" si="6"/>
        <v>-19503.525000000001</v>
      </c>
      <c r="J48" s="522"/>
    </row>
    <row r="49" spans="1:10">
      <c r="A49" s="499">
        <f>+A48+1</f>
        <v>19</v>
      </c>
      <c r="C49" s="526" t="str">
        <f>"Proration Adjustment - WS C-3, Ln "&amp;'OKT WS C-3 ADIT Proration'!A60</f>
        <v>Proration Adjustment - WS C-3, Ln 38</v>
      </c>
      <c r="D49" s="523"/>
      <c r="E49" s="523"/>
      <c r="F49" s="523">
        <f>+'OKT WS C-3 ADIT Proration'!I60</f>
        <v>0</v>
      </c>
      <c r="G49" s="523"/>
      <c r="H49" s="524"/>
      <c r="I49" s="527"/>
      <c r="J49" s="522"/>
    </row>
    <row r="50" spans="1:10">
      <c r="A50" s="499">
        <f>+A49+1</f>
        <v>20</v>
      </c>
      <c r="C50" s="509" t="s">
        <v>523</v>
      </c>
      <c r="D50" s="528">
        <f t="shared" ref="D50:I50" si="7">+D48+D49</f>
        <v>14569679.41</v>
      </c>
      <c r="E50" s="528">
        <f t="shared" si="7"/>
        <v>-23016308.247005191</v>
      </c>
      <c r="F50" s="528">
        <f t="shared" si="7"/>
        <v>5438145.3100000005</v>
      </c>
      <c r="G50" s="528">
        <f t="shared" si="7"/>
        <v>32167345.872005191</v>
      </c>
      <c r="H50" s="528">
        <f t="shared" si="7"/>
        <v>0</v>
      </c>
      <c r="I50" s="528">
        <f t="shared" si="7"/>
        <v>-19503.525000000001</v>
      </c>
      <c r="J50" s="522"/>
    </row>
    <row r="51" spans="1:10" ht="12.75" customHeight="1">
      <c r="A51" s="499">
        <f>+A50+1</f>
        <v>21</v>
      </c>
      <c r="B51" s="529"/>
      <c r="C51" s="530" t="s">
        <v>615</v>
      </c>
      <c r="D51" s="531"/>
      <c r="E51" s="532">
        <v>0</v>
      </c>
      <c r="F51" s="532">
        <v>1</v>
      </c>
      <c r="G51" s="532">
        <f>G37</f>
        <v>0.99999930414784022</v>
      </c>
      <c r="H51" s="532">
        <f>H37</f>
        <v>1</v>
      </c>
      <c r="I51" s="532">
        <f>I37</f>
        <v>0.99999930414784033</v>
      </c>
    </row>
    <row r="52" spans="1:10">
      <c r="A52" s="499">
        <f>+A51+1</f>
        <v>22</v>
      </c>
      <c r="C52" s="509" t="s">
        <v>79</v>
      </c>
      <c r="E52" s="522">
        <f>E51*E50</f>
        <v>0</v>
      </c>
      <c r="F52" s="522">
        <f>F51*F50</f>
        <v>5438145.3100000005</v>
      </c>
      <c r="G52" s="522">
        <f>G51*G50</f>
        <v>32167323.48828809</v>
      </c>
      <c r="H52" s="522">
        <f>H51*H50</f>
        <v>0</v>
      </c>
      <c r="I52" s="522">
        <f>I51*I50</f>
        <v>-19503.511428430011</v>
      </c>
      <c r="J52" s="533">
        <f>SUM(F52:I52)</f>
        <v>37585965.286859661</v>
      </c>
    </row>
    <row r="53" spans="1:10">
      <c r="E53" s="539"/>
      <c r="F53" s="539"/>
      <c r="G53" s="539"/>
      <c r="I53" s="537"/>
    </row>
    <row r="54" spans="1:10">
      <c r="E54" s="540"/>
      <c r="F54" s="539"/>
      <c r="G54" s="2195" t="s">
        <v>71</v>
      </c>
      <c r="I54" s="537"/>
      <c r="J54" s="522" t="s">
        <v>251</v>
      </c>
    </row>
    <row r="55" spans="1:10" ht="15.75">
      <c r="C55" s="512" t="s">
        <v>81</v>
      </c>
      <c r="E55" s="540"/>
      <c r="F55" s="539"/>
      <c r="G55" s="2196"/>
    </row>
    <row r="56" spans="1:10" ht="6.75" customHeight="1">
      <c r="C56" s="513"/>
      <c r="E56" s="540"/>
      <c r="F56" s="539"/>
      <c r="G56" s="2196"/>
    </row>
    <row r="57" spans="1:10" ht="15.75">
      <c r="C57" s="541"/>
      <c r="D57"/>
      <c r="G57" s="2196"/>
    </row>
    <row r="58" spans="1:10">
      <c r="A58" s="499">
        <f>+A52+1</f>
        <v>23</v>
      </c>
      <c r="B58" s="542">
        <v>255</v>
      </c>
      <c r="C58" s="543" t="str">
        <f>"Acc Defrd ITC - Federal - 12/31/"&amp;'OKT TCOS'!N2&amp;" (FF1 p. 267, Ln 2.h)"</f>
        <v>Acc Defrd ITC - Federal - 12/31/2022 (FF1 p. 267, Ln 2.h)</v>
      </c>
      <c r="D58" s="544">
        <v>0</v>
      </c>
      <c r="E58" s="516"/>
      <c r="F58" s="516"/>
      <c r="G58" s="516">
        <v>0</v>
      </c>
      <c r="H58" s="516"/>
      <c r="I58" s="516"/>
      <c r="J58" s="517"/>
    </row>
    <row r="59" spans="1:10">
      <c r="A59" s="499">
        <f>+A58+1</f>
        <v>24</v>
      </c>
      <c r="B59" s="542">
        <v>255</v>
      </c>
      <c r="C59" s="543" t="str">
        <f>"Acc Defrd ITC - Federal - 12/31/"&amp;'OKT TCOS'!N2-1&amp;" (FF1 p. 266, Ln 2.b)"</f>
        <v>Acc Defrd ITC - Federal - 12/31/2021 (FF1 p. 266, Ln 2.b)</v>
      </c>
      <c r="D59" s="544">
        <v>0</v>
      </c>
      <c r="E59" s="516"/>
      <c r="F59" s="516"/>
      <c r="G59" s="516">
        <f>D59</f>
        <v>0</v>
      </c>
      <c r="H59" s="516"/>
      <c r="I59" s="516"/>
      <c r="J59" s="499"/>
    </row>
    <row r="60" spans="1:10">
      <c r="B60" s="518" t="s">
        <v>251</v>
      </c>
      <c r="D60" s="519"/>
      <c r="E60" s="519"/>
      <c r="F60" s="519"/>
      <c r="G60" s="519" t="s">
        <v>251</v>
      </c>
      <c r="H60" s="519"/>
      <c r="I60" s="519"/>
    </row>
    <row r="61" spans="1:10">
      <c r="A61" s="499">
        <f>+A59+1</f>
        <v>25</v>
      </c>
      <c r="C61" s="509" t="s">
        <v>78</v>
      </c>
      <c r="D61" s="521">
        <f>D58+D59</f>
        <v>0</v>
      </c>
      <c r="E61" s="521"/>
      <c r="F61" s="521"/>
      <c r="G61" s="521">
        <f>G58+G59</f>
        <v>0</v>
      </c>
      <c r="H61" s="521"/>
      <c r="I61" s="521"/>
      <c r="J61" s="522"/>
    </row>
    <row r="62" spans="1:10">
      <c r="A62" s="499">
        <f>+A61+1</f>
        <v>26</v>
      </c>
      <c r="C62" s="509" t="s">
        <v>349</v>
      </c>
      <c r="D62" s="523">
        <f>D61/2</f>
        <v>0</v>
      </c>
      <c r="E62" s="523"/>
      <c r="F62" s="523"/>
      <c r="G62" s="523">
        <f>G61/2</f>
        <v>0</v>
      </c>
      <c r="H62" s="524"/>
      <c r="I62" s="524"/>
      <c r="J62" s="522"/>
    </row>
    <row r="63" spans="1:10" ht="12.75" customHeight="1">
      <c r="A63" s="499">
        <f>+A62+1</f>
        <v>27</v>
      </c>
      <c r="B63" s="529"/>
      <c r="C63" s="530" t="s">
        <v>615</v>
      </c>
      <c r="D63" s="531"/>
      <c r="E63" s="545"/>
      <c r="F63" s="545"/>
      <c r="G63" s="532">
        <f>G51</f>
        <v>0.99999930414784022</v>
      </c>
      <c r="H63" s="545"/>
      <c r="I63" s="545"/>
    </row>
    <row r="64" spans="1:10">
      <c r="A64" s="499">
        <f>+A63+1</f>
        <v>28</v>
      </c>
      <c r="C64" s="509" t="s">
        <v>79</v>
      </c>
      <c r="E64" s="545" t="s">
        <v>16</v>
      </c>
      <c r="F64" s="545" t="s">
        <v>16</v>
      </c>
      <c r="G64" s="522">
        <f>G63*G62</f>
        <v>0</v>
      </c>
      <c r="H64" s="545" t="s">
        <v>16</v>
      </c>
      <c r="I64" s="545" t="s">
        <v>16</v>
      </c>
      <c r="J64" s="533">
        <f>SUM(F64:I64)</f>
        <v>0</v>
      </c>
    </row>
    <row r="65" spans="2:10" ht="12.75" customHeight="1">
      <c r="C65" s="513"/>
      <c r="E65" s="540"/>
      <c r="F65" s="539"/>
      <c r="G65" s="540"/>
    </row>
    <row r="66" spans="2:10" ht="12.75" customHeight="1">
      <c r="C66" s="513"/>
      <c r="E66" s="540"/>
      <c r="F66" s="539"/>
      <c r="G66" s="540"/>
    </row>
    <row r="67" spans="2:10" ht="12.75" customHeight="1">
      <c r="B67" s="546" t="s">
        <v>82</v>
      </c>
      <c r="C67" s="493" t="s">
        <v>83</v>
      </c>
      <c r="D67" s="493"/>
      <c r="E67" s="493"/>
      <c r="F67" s="493"/>
      <c r="G67" s="493"/>
      <c r="H67" s="493"/>
      <c r="I67" s="493"/>
      <c r="J67" s="493"/>
    </row>
    <row r="68" spans="2:10" ht="12.75" customHeight="1">
      <c r="B68" s="546"/>
      <c r="C68" s="493"/>
      <c r="D68" s="493"/>
      <c r="E68" s="493"/>
      <c r="F68" s="493"/>
      <c r="G68" s="493"/>
      <c r="H68" s="493"/>
      <c r="I68" s="493"/>
      <c r="J68" s="493"/>
    </row>
    <row r="69" spans="2:10" ht="12.75" customHeight="1">
      <c r="B69" s="546"/>
      <c r="C69" s="493"/>
      <c r="D69" s="493"/>
      <c r="E69" s="493"/>
      <c r="F69" s="493"/>
      <c r="G69" s="493"/>
      <c r="H69" s="493"/>
      <c r="I69" s="493"/>
      <c r="J69" s="493"/>
    </row>
    <row r="70" spans="2:10" ht="12.75" customHeight="1">
      <c r="B70" s="546"/>
      <c r="C70" s="493"/>
      <c r="D70" s="493"/>
      <c r="E70" s="493"/>
      <c r="F70" s="493"/>
      <c r="G70" s="493"/>
      <c r="H70" s="493"/>
      <c r="I70" s="493"/>
      <c r="J70" s="493"/>
    </row>
    <row r="71" spans="2:10" ht="12.75" customHeight="1">
      <c r="B71" s="546"/>
      <c r="C71" s="493"/>
      <c r="D71" s="493"/>
      <c r="E71" s="493"/>
      <c r="F71" s="493"/>
      <c r="G71" s="493"/>
      <c r="H71" s="493"/>
      <c r="I71" s="493"/>
      <c r="J71" s="493"/>
    </row>
    <row r="72" spans="2:10">
      <c r="B72" s="546"/>
      <c r="C72" s="493"/>
      <c r="D72" s="493"/>
      <c r="E72" s="493"/>
      <c r="F72" s="493"/>
      <c r="G72" s="493"/>
      <c r="H72" s="493"/>
      <c r="I72" s="493"/>
      <c r="J72" s="493"/>
    </row>
    <row r="73" spans="2:10">
      <c r="B73" s="546"/>
      <c r="C73" s="493"/>
      <c r="D73" s="493"/>
      <c r="E73" s="493"/>
      <c r="F73" s="493"/>
      <c r="G73" s="493"/>
      <c r="H73" s="493"/>
      <c r="I73" s="493"/>
      <c r="J73" s="493"/>
    </row>
    <row r="74" spans="2:10">
      <c r="B74" s="546"/>
      <c r="C74" s="493"/>
      <c r="D74" s="493"/>
      <c r="E74" s="493"/>
      <c r="F74" s="493"/>
      <c r="G74" s="493"/>
      <c r="H74" s="493"/>
      <c r="I74" s="493"/>
      <c r="J74" s="493"/>
    </row>
    <row r="75" spans="2:10">
      <c r="B75" s="546"/>
      <c r="C75" s="493"/>
      <c r="D75" s="493"/>
      <c r="E75" s="493"/>
      <c r="F75" s="493"/>
      <c r="G75" s="493"/>
      <c r="H75" s="493"/>
      <c r="I75" s="493"/>
      <c r="J75" s="493"/>
    </row>
    <row r="76" spans="2:10">
      <c r="B76" s="546"/>
      <c r="C76" s="493"/>
      <c r="D76" s="493"/>
      <c r="E76" s="493"/>
      <c r="F76" s="493"/>
      <c r="G76" s="493"/>
      <c r="H76" s="493"/>
      <c r="I76" s="493"/>
      <c r="J76" s="493" t="s">
        <v>251</v>
      </c>
    </row>
    <row r="77" spans="2:10">
      <c r="B77" s="546"/>
      <c r="C77" s="493"/>
      <c r="D77" s="493"/>
      <c r="E77" s="493"/>
      <c r="F77" s="493"/>
      <c r="G77" s="493"/>
      <c r="H77" s="493"/>
      <c r="I77" s="493"/>
      <c r="J77" s="493"/>
    </row>
    <row r="78" spans="2:10">
      <c r="B78" s="546"/>
      <c r="C78" s="493"/>
      <c r="D78" s="493"/>
      <c r="E78" s="493"/>
      <c r="F78" s="493"/>
      <c r="G78" s="493"/>
      <c r="H78" s="493"/>
      <c r="I78" s="493"/>
      <c r="J78" s="493"/>
    </row>
    <row r="79" spans="2:10">
      <c r="B79" s="546"/>
      <c r="C79" s="493"/>
      <c r="D79" s="493"/>
      <c r="E79" s="493"/>
      <c r="F79" s="493"/>
      <c r="G79" s="493"/>
      <c r="H79" s="493"/>
      <c r="I79" s="493"/>
      <c r="J79" s="493"/>
    </row>
    <row r="80" spans="2:10">
      <c r="B80" s="546"/>
      <c r="C80" s="493"/>
      <c r="D80" s="493"/>
      <c r="E80" s="493"/>
      <c r="F80" s="493"/>
      <c r="G80" s="493"/>
      <c r="H80" s="493"/>
      <c r="I80" s="493"/>
      <c r="J80" s="493"/>
    </row>
    <row r="81" spans="2:11">
      <c r="B81" s="546"/>
      <c r="C81" s="493"/>
      <c r="D81" s="493"/>
      <c r="E81" s="493"/>
      <c r="F81" s="493"/>
      <c r="G81" s="493"/>
      <c r="H81" s="493"/>
      <c r="I81" s="493"/>
      <c r="J81" s="493"/>
    </row>
    <row r="82" spans="2:11">
      <c r="B82" s="546"/>
      <c r="C82" s="493"/>
      <c r="D82" s="493"/>
      <c r="E82" s="493"/>
      <c r="F82" s="493"/>
      <c r="G82" s="493"/>
      <c r="H82" s="493"/>
      <c r="I82" s="493"/>
      <c r="J82" s="493"/>
    </row>
    <row r="83" spans="2:11">
      <c r="B83" s="546"/>
      <c r="C83" s="493"/>
      <c r="D83" s="493"/>
      <c r="E83" s="493"/>
      <c r="F83" s="493"/>
      <c r="G83" s="493"/>
      <c r="H83" s="493"/>
      <c r="I83" s="493"/>
      <c r="J83" s="493"/>
    </row>
    <row r="84" spans="2:11">
      <c r="B84" s="546"/>
      <c r="C84" s="493"/>
      <c r="D84" s="493"/>
      <c r="E84" s="493"/>
      <c r="F84" s="493"/>
      <c r="G84" s="493"/>
      <c r="H84" s="493"/>
      <c r="I84" s="493"/>
      <c r="J84" s="493"/>
      <c r="K84" s="493"/>
    </row>
    <row r="85" spans="2:11">
      <c r="B85" s="546"/>
      <c r="C85" s="493"/>
      <c r="D85" s="493"/>
      <c r="E85" s="493"/>
      <c r="F85" s="493"/>
      <c r="G85" s="493"/>
      <c r="H85" s="493"/>
      <c r="I85" s="493"/>
      <c r="J85" s="493"/>
      <c r="K85" s="493"/>
    </row>
    <row r="86" spans="2:11">
      <c r="B86" s="546"/>
      <c r="C86" s="493"/>
      <c r="D86" s="493"/>
      <c r="E86" s="493"/>
      <c r="F86" s="493"/>
      <c r="G86" s="493"/>
      <c r="H86" s="493"/>
      <c r="I86" s="493"/>
      <c r="J86" s="493"/>
      <c r="K86" s="493"/>
    </row>
    <row r="87" spans="2:11">
      <c r="B87" s="546"/>
      <c r="C87" s="493"/>
      <c r="D87" s="493"/>
      <c r="E87" s="493"/>
      <c r="F87" s="493"/>
      <c r="G87" s="493"/>
      <c r="H87" s="493"/>
      <c r="I87" s="493"/>
      <c r="J87" s="493"/>
      <c r="K87" s="493"/>
    </row>
    <row r="88" spans="2:11">
      <c r="B88" s="546"/>
      <c r="C88" s="493"/>
      <c r="D88" s="493"/>
      <c r="E88" s="493"/>
      <c r="F88" s="493"/>
      <c r="G88" s="493"/>
      <c r="H88" s="493"/>
      <c r="I88" s="493"/>
      <c r="J88" s="493"/>
      <c r="K88" s="493"/>
    </row>
    <row r="89" spans="2:11">
      <c r="B89" s="546"/>
      <c r="C89" s="493"/>
      <c r="D89" s="493"/>
      <c r="E89" s="493"/>
      <c r="F89" s="493"/>
      <c r="G89" s="493"/>
      <c r="H89" s="493"/>
      <c r="I89" s="493"/>
      <c r="J89" s="493"/>
      <c r="K89" s="493"/>
    </row>
    <row r="90" spans="2:11">
      <c r="B90" s="546"/>
      <c r="C90" s="493"/>
      <c r="D90" s="493"/>
      <c r="E90" s="493"/>
      <c r="F90" s="493"/>
      <c r="G90" s="493"/>
      <c r="H90" s="493"/>
      <c r="I90" s="493"/>
      <c r="J90" s="493"/>
      <c r="K90" s="493"/>
    </row>
    <row r="91" spans="2:11">
      <c r="B91" s="546"/>
      <c r="C91" s="493"/>
      <c r="D91" s="493"/>
      <c r="E91" s="493"/>
      <c r="F91" s="493"/>
      <c r="G91" s="493"/>
      <c r="H91" s="493"/>
      <c r="I91" s="493"/>
      <c r="J91" s="493"/>
      <c r="K91" s="493"/>
    </row>
    <row r="92" spans="2:11">
      <c r="B92" s="546"/>
      <c r="C92" s="493"/>
      <c r="D92" s="493"/>
      <c r="E92" s="493"/>
      <c r="F92" s="493"/>
      <c r="G92" s="493"/>
      <c r="H92" s="493"/>
      <c r="I92" s="493"/>
      <c r="J92" s="493"/>
      <c r="K92" s="493"/>
    </row>
    <row r="93" spans="2:11">
      <c r="B93" s="546"/>
      <c r="C93" s="493"/>
      <c r="D93" s="493"/>
      <c r="E93" s="493"/>
      <c r="F93" s="493"/>
      <c r="G93" s="493"/>
      <c r="H93" s="493"/>
      <c r="I93" s="493"/>
      <c r="J93" s="493"/>
      <c r="K93" s="493"/>
    </row>
    <row r="94" spans="2:11">
      <c r="B94" s="546"/>
      <c r="C94" s="493"/>
      <c r="D94" s="493"/>
      <c r="E94" s="493"/>
      <c r="F94" s="493"/>
      <c r="G94" s="493"/>
      <c r="H94" s="493"/>
      <c r="I94" s="493"/>
      <c r="J94" s="493"/>
      <c r="K94" s="493"/>
    </row>
    <row r="95" spans="2:11">
      <c r="B95" s="546"/>
      <c r="C95" s="493"/>
      <c r="D95" s="493"/>
      <c r="E95" s="493"/>
      <c r="F95" s="493"/>
      <c r="G95" s="493"/>
      <c r="H95" s="493"/>
      <c r="I95" s="493"/>
      <c r="J95" s="493"/>
      <c r="K95" s="493"/>
    </row>
    <row r="96" spans="2:11">
      <c r="B96" s="546"/>
      <c r="C96" s="493"/>
      <c r="D96" s="493"/>
      <c r="E96" s="493"/>
      <c r="F96" s="493"/>
      <c r="G96" s="493"/>
      <c r="H96" s="493"/>
      <c r="I96" s="493"/>
      <c r="J96" s="493"/>
      <c r="K96" s="493"/>
    </row>
    <row r="97" spans="2:11">
      <c r="B97" s="546"/>
      <c r="C97" s="493"/>
      <c r="D97" s="493"/>
      <c r="E97" s="493"/>
      <c r="F97" s="493"/>
      <c r="G97" s="493"/>
      <c r="H97" s="493"/>
      <c r="I97" s="493"/>
      <c r="J97" s="493"/>
      <c r="K97" s="493"/>
    </row>
    <row r="98" spans="2:11">
      <c r="B98" s="546"/>
      <c r="C98" s="493"/>
      <c r="D98" s="493"/>
      <c r="E98" s="493"/>
      <c r="F98" s="493"/>
      <c r="G98" s="493"/>
      <c r="H98" s="493"/>
      <c r="I98" s="493"/>
      <c r="J98" s="493"/>
      <c r="K98" s="493"/>
    </row>
    <row r="99" spans="2:11">
      <c r="B99" s="546"/>
      <c r="C99" s="493"/>
      <c r="D99" s="493"/>
      <c r="E99" s="493"/>
      <c r="F99" s="493"/>
      <c r="G99" s="493"/>
      <c r="H99" s="493"/>
      <c r="I99" s="493"/>
      <c r="J99" s="493"/>
      <c r="K99" s="493"/>
    </row>
    <row r="100" spans="2:11">
      <c r="B100" s="546"/>
      <c r="C100" s="493"/>
      <c r="D100" s="493"/>
      <c r="E100" s="493"/>
      <c r="F100" s="493"/>
      <c r="G100" s="493"/>
      <c r="H100" s="493"/>
      <c r="I100" s="493"/>
      <c r="J100" s="493"/>
      <c r="K100" s="493"/>
    </row>
    <row r="101" spans="2:11">
      <c r="B101" s="546"/>
      <c r="C101" s="493"/>
      <c r="D101" s="493"/>
      <c r="E101" s="493"/>
      <c r="F101" s="493"/>
      <c r="G101" s="493"/>
      <c r="H101" s="493"/>
      <c r="I101" s="493"/>
      <c r="J101" s="493"/>
      <c r="K101" s="493"/>
    </row>
    <row r="102" spans="2:11">
      <c r="B102" s="546"/>
      <c r="C102" s="493"/>
      <c r="D102" s="493"/>
      <c r="E102" s="493"/>
      <c r="F102" s="493"/>
      <c r="G102" s="493"/>
      <c r="H102" s="493"/>
      <c r="I102" s="493"/>
      <c r="J102" s="493"/>
      <c r="K102" s="493"/>
    </row>
    <row r="103" spans="2:11">
      <c r="B103" s="546"/>
      <c r="C103" s="493"/>
      <c r="D103" s="493"/>
      <c r="E103" s="493"/>
      <c r="F103" s="493"/>
      <c r="G103" s="493"/>
      <c r="H103" s="493"/>
      <c r="I103" s="493"/>
      <c r="J103" s="493"/>
      <c r="K103" s="493"/>
    </row>
    <row r="104" spans="2:11">
      <c r="B104" s="546"/>
      <c r="C104" s="493"/>
      <c r="D104" s="493"/>
      <c r="E104" s="493"/>
      <c r="F104" s="493"/>
      <c r="G104" s="493"/>
      <c r="H104" s="493"/>
      <c r="I104" s="493"/>
      <c r="J104" s="493"/>
      <c r="K104" s="493"/>
    </row>
    <row r="105" spans="2:11">
      <c r="B105" s="546"/>
      <c r="C105" s="493"/>
      <c r="D105" s="493"/>
      <c r="E105" s="493"/>
      <c r="F105" s="493"/>
      <c r="G105" s="493"/>
      <c r="H105" s="493"/>
      <c r="I105" s="493"/>
      <c r="J105" s="493"/>
      <c r="K105" s="493"/>
    </row>
    <row r="106" spans="2:11">
      <c r="B106" s="546"/>
      <c r="C106" s="493"/>
      <c r="D106" s="493"/>
      <c r="E106" s="493"/>
      <c r="F106" s="493"/>
      <c r="G106" s="493"/>
      <c r="H106" s="493"/>
      <c r="I106" s="493"/>
      <c r="J106" s="493"/>
      <c r="K106" s="493"/>
    </row>
    <row r="107" spans="2:11">
      <c r="B107" s="546"/>
      <c r="C107" s="493"/>
      <c r="D107" s="493"/>
      <c r="E107" s="493"/>
      <c r="F107" s="493"/>
      <c r="G107" s="493"/>
      <c r="H107" s="493"/>
      <c r="I107" s="493"/>
      <c r="J107" s="493"/>
      <c r="K107" s="493"/>
    </row>
    <row r="108" spans="2:11">
      <c r="B108" s="546"/>
      <c r="C108" s="493"/>
      <c r="D108" s="493"/>
      <c r="E108" s="493"/>
      <c r="F108" s="493"/>
      <c r="G108" s="493"/>
      <c r="H108" s="493"/>
      <c r="I108" s="493"/>
      <c r="J108" s="493"/>
      <c r="K108" s="493"/>
    </row>
    <row r="109" spans="2:11">
      <c r="B109" s="546"/>
      <c r="C109" s="493"/>
      <c r="D109" s="493"/>
      <c r="E109" s="493"/>
      <c r="F109" s="493"/>
      <c r="G109" s="493"/>
      <c r="H109" s="493"/>
      <c r="I109" s="493"/>
      <c r="J109" s="493"/>
      <c r="K109" s="493"/>
    </row>
    <row r="110" spans="2:11">
      <c r="B110" s="546"/>
      <c r="C110" s="493"/>
      <c r="D110" s="493"/>
      <c r="E110" s="493"/>
      <c r="F110" s="493"/>
      <c r="G110" s="493"/>
      <c r="H110" s="493"/>
      <c r="I110" s="493"/>
      <c r="J110" s="493"/>
      <c r="K110" s="493"/>
    </row>
    <row r="111" spans="2:11">
      <c r="B111" s="546"/>
      <c r="C111" s="493"/>
      <c r="D111" s="493"/>
      <c r="E111" s="493"/>
      <c r="F111" s="493"/>
      <c r="G111" s="493"/>
      <c r="H111" s="493"/>
      <c r="I111" s="493"/>
      <c r="J111" s="493"/>
      <c r="K111" s="493"/>
    </row>
    <row r="112" spans="2:11">
      <c r="B112" s="546"/>
      <c r="C112" s="493"/>
      <c r="D112" s="493"/>
      <c r="E112" s="493"/>
      <c r="F112" s="493"/>
      <c r="G112" s="493"/>
      <c r="H112" s="493"/>
      <c r="I112" s="493"/>
      <c r="J112" s="493"/>
      <c r="K112" s="493"/>
    </row>
    <row r="113" spans="2:11">
      <c r="B113" s="546"/>
      <c r="C113" s="493"/>
      <c r="D113" s="493"/>
      <c r="E113" s="493"/>
      <c r="F113" s="493"/>
      <c r="G113" s="493"/>
      <c r="H113" s="493"/>
      <c r="I113" s="493"/>
      <c r="J113" s="493"/>
      <c r="K113" s="493"/>
    </row>
    <row r="114" spans="2:11">
      <c r="B114" s="546"/>
      <c r="C114" s="493"/>
      <c r="D114" s="493"/>
      <c r="E114" s="493"/>
      <c r="F114" s="493"/>
      <c r="G114" s="493"/>
      <c r="H114" s="493"/>
      <c r="I114" s="493"/>
      <c r="J114" s="493"/>
      <c r="K114" s="493"/>
    </row>
    <row r="115" spans="2:11">
      <c r="B115" s="546"/>
      <c r="C115" s="493"/>
      <c r="D115" s="493"/>
      <c r="E115" s="493"/>
      <c r="F115" s="493"/>
      <c r="G115" s="493"/>
      <c r="H115" s="493"/>
      <c r="I115" s="493"/>
      <c r="J115" s="493"/>
      <c r="K115" s="493"/>
    </row>
    <row r="116" spans="2:11">
      <c r="B116" s="546"/>
      <c r="C116" s="493"/>
      <c r="D116" s="493"/>
      <c r="E116" s="493"/>
      <c r="F116" s="493"/>
      <c r="G116" s="493"/>
      <c r="H116" s="493"/>
      <c r="I116" s="493"/>
      <c r="J116" s="493"/>
      <c r="K116" s="493"/>
    </row>
    <row r="117" spans="2:11">
      <c r="B117" s="546"/>
      <c r="C117" s="493"/>
      <c r="D117" s="493"/>
      <c r="E117" s="493"/>
      <c r="F117" s="493"/>
      <c r="G117" s="493"/>
      <c r="H117" s="493"/>
      <c r="I117" s="493"/>
      <c r="J117" s="493"/>
      <c r="K117" s="493"/>
    </row>
    <row r="118" spans="2:11">
      <c r="B118" s="546"/>
      <c r="C118" s="493"/>
      <c r="D118" s="493"/>
      <c r="E118" s="493"/>
      <c r="F118" s="493"/>
      <c r="G118" s="493"/>
      <c r="H118" s="493"/>
      <c r="I118" s="493"/>
      <c r="J118" s="493"/>
      <c r="K118" s="493"/>
    </row>
    <row r="119" spans="2:11">
      <c r="B119" s="546"/>
      <c r="C119" s="493"/>
      <c r="D119" s="493"/>
      <c r="E119" s="493"/>
      <c r="F119" s="493"/>
      <c r="G119" s="493"/>
      <c r="H119" s="493"/>
      <c r="I119" s="493"/>
      <c r="J119" s="493"/>
      <c r="K119" s="493"/>
    </row>
    <row r="120" spans="2:11">
      <c r="B120" s="546"/>
      <c r="C120" s="493"/>
      <c r="D120" s="493"/>
      <c r="E120" s="493"/>
      <c r="F120" s="493"/>
      <c r="G120" s="493"/>
      <c r="H120" s="493"/>
      <c r="I120" s="493"/>
      <c r="J120" s="493"/>
      <c r="K120" s="493"/>
    </row>
    <row r="121" spans="2:11">
      <c r="B121" s="546"/>
      <c r="C121" s="493"/>
      <c r="D121" s="493"/>
      <c r="E121" s="493"/>
      <c r="F121" s="493"/>
      <c r="G121" s="493"/>
      <c r="H121" s="493"/>
      <c r="I121" s="493"/>
      <c r="J121" s="493"/>
      <c r="K121" s="493"/>
    </row>
    <row r="122" spans="2:11">
      <c r="B122" s="546"/>
      <c r="C122" s="493"/>
      <c r="D122" s="493"/>
      <c r="E122" s="493"/>
      <c r="F122" s="493"/>
      <c r="G122" s="493"/>
      <c r="H122" s="493"/>
      <c r="I122" s="493"/>
      <c r="J122" s="493"/>
      <c r="K122" s="493"/>
    </row>
    <row r="123" spans="2:11">
      <c r="B123" s="546"/>
      <c r="C123" s="493"/>
      <c r="D123" s="493"/>
      <c r="E123" s="493"/>
      <c r="F123" s="493"/>
      <c r="G123" s="493"/>
      <c r="H123" s="493"/>
      <c r="I123" s="493"/>
      <c r="J123" s="493"/>
      <c r="K123" s="493"/>
    </row>
    <row r="124" spans="2:11">
      <c r="B124" s="546"/>
      <c r="C124" s="493"/>
      <c r="D124" s="493"/>
      <c r="E124" s="493"/>
      <c r="F124" s="493"/>
      <c r="G124" s="493"/>
      <c r="H124" s="493"/>
      <c r="I124" s="493"/>
      <c r="J124" s="493"/>
      <c r="K124" s="493"/>
    </row>
    <row r="125" spans="2:11">
      <c r="B125" s="546"/>
      <c r="C125" s="493"/>
      <c r="D125" s="493"/>
      <c r="E125" s="493"/>
      <c r="F125" s="493"/>
      <c r="G125" s="493"/>
      <c r="H125" s="493"/>
      <c r="I125" s="493"/>
      <c r="J125" s="493"/>
      <c r="K125" s="493"/>
    </row>
    <row r="126" spans="2:11">
      <c r="B126" s="546"/>
      <c r="C126" s="493"/>
      <c r="D126" s="493"/>
      <c r="E126" s="493"/>
      <c r="F126" s="493"/>
      <c r="G126" s="493"/>
      <c r="H126" s="493"/>
      <c r="I126" s="493"/>
      <c r="J126" s="493"/>
      <c r="K126" s="493"/>
    </row>
    <row r="127" spans="2:11">
      <c r="B127" s="546"/>
      <c r="C127" s="493"/>
      <c r="D127" s="493"/>
      <c r="E127" s="493"/>
      <c r="F127" s="493"/>
      <c r="G127" s="493"/>
      <c r="H127" s="493"/>
      <c r="I127" s="493"/>
      <c r="J127" s="493"/>
      <c r="K127" s="493"/>
    </row>
    <row r="128" spans="2:11">
      <c r="B128" s="546"/>
      <c r="C128" s="493"/>
      <c r="D128" s="493"/>
      <c r="E128" s="493"/>
      <c r="F128" s="493"/>
      <c r="G128" s="493"/>
      <c r="H128" s="493"/>
      <c r="I128" s="493"/>
      <c r="J128" s="493"/>
      <c r="K128" s="493"/>
    </row>
    <row r="129" spans="2:11">
      <c r="B129" s="546"/>
      <c r="C129" s="493"/>
      <c r="D129" s="493"/>
      <c r="E129" s="493"/>
      <c r="F129" s="493"/>
      <c r="G129" s="493"/>
      <c r="H129" s="493"/>
      <c r="I129" s="493"/>
      <c r="J129" s="493"/>
      <c r="K129" s="493"/>
    </row>
    <row r="130" spans="2:11">
      <c r="B130" s="546"/>
      <c r="C130" s="493"/>
      <c r="D130" s="493"/>
      <c r="E130" s="493"/>
      <c r="F130" s="493"/>
      <c r="G130" s="493"/>
      <c r="H130" s="493"/>
      <c r="I130" s="493"/>
      <c r="J130" s="493"/>
      <c r="K130" s="493"/>
    </row>
    <row r="131" spans="2:11">
      <c r="B131" s="546"/>
      <c r="C131" s="493"/>
      <c r="D131" s="493"/>
      <c r="E131" s="493"/>
      <c r="F131" s="493"/>
      <c r="G131" s="493"/>
      <c r="H131" s="493"/>
      <c r="I131" s="493"/>
      <c r="J131" s="493"/>
      <c r="K131" s="493"/>
    </row>
    <row r="132" spans="2:11">
      <c r="B132" s="546"/>
      <c r="C132" s="493"/>
      <c r="D132" s="493"/>
      <c r="E132" s="493"/>
      <c r="F132" s="493"/>
      <c r="G132" s="493"/>
      <c r="H132" s="493"/>
      <c r="I132" s="493"/>
      <c r="J132" s="493"/>
      <c r="K132" s="493"/>
    </row>
    <row r="133" spans="2:11">
      <c r="B133" s="546"/>
      <c r="C133" s="493"/>
      <c r="D133" s="493"/>
      <c r="E133" s="493"/>
      <c r="F133" s="493"/>
      <c r="G133" s="493"/>
      <c r="H133" s="493"/>
      <c r="I133" s="493"/>
      <c r="J133" s="493"/>
      <c r="K133" s="493"/>
    </row>
    <row r="134" spans="2:11">
      <c r="B134" s="546"/>
      <c r="C134" s="493"/>
      <c r="D134" s="493"/>
      <c r="E134" s="493"/>
      <c r="F134" s="493"/>
      <c r="G134" s="493"/>
      <c r="H134" s="493"/>
      <c r="I134" s="493"/>
      <c r="J134" s="493"/>
      <c r="K134" s="493"/>
    </row>
    <row r="135" spans="2:11">
      <c r="B135" s="546"/>
      <c r="C135" s="493"/>
      <c r="D135" s="493"/>
      <c r="E135" s="493"/>
      <c r="F135" s="493"/>
      <c r="G135" s="493"/>
      <c r="H135" s="493"/>
      <c r="I135" s="493"/>
      <c r="J135" s="493"/>
      <c r="K135" s="493"/>
    </row>
    <row r="136" spans="2:11">
      <c r="B136" s="546"/>
      <c r="C136" s="493"/>
      <c r="D136" s="493"/>
      <c r="E136" s="493"/>
      <c r="F136" s="493"/>
      <c r="G136" s="493"/>
      <c r="H136" s="493"/>
      <c r="I136" s="493"/>
      <c r="J136" s="493"/>
      <c r="K136" s="493"/>
    </row>
    <row r="137" spans="2:11">
      <c r="B137" s="546"/>
      <c r="C137" s="493"/>
      <c r="D137" s="493"/>
      <c r="E137" s="493"/>
      <c r="F137" s="493"/>
      <c r="G137" s="493"/>
      <c r="H137" s="493"/>
      <c r="I137" s="493"/>
      <c r="J137" s="493"/>
      <c r="K137" s="493"/>
    </row>
    <row r="138" spans="2:11">
      <c r="B138" s="546"/>
      <c r="C138" s="493"/>
      <c r="D138" s="493"/>
      <c r="E138" s="493"/>
      <c r="F138" s="493"/>
      <c r="G138" s="493"/>
      <c r="H138" s="493"/>
      <c r="I138" s="493"/>
      <c r="J138" s="493"/>
      <c r="K138" s="493"/>
    </row>
    <row r="139" spans="2:11">
      <c r="B139" s="546"/>
      <c r="C139" s="493"/>
      <c r="D139" s="493"/>
      <c r="E139" s="493"/>
      <c r="F139" s="493"/>
      <c r="G139" s="493"/>
      <c r="H139" s="493"/>
      <c r="I139" s="493"/>
      <c r="J139" s="493"/>
      <c r="K139" s="493"/>
    </row>
    <row r="140" spans="2:11">
      <c r="B140" s="546"/>
      <c r="C140" s="493"/>
      <c r="D140" s="493"/>
      <c r="E140" s="493"/>
      <c r="F140" s="493"/>
      <c r="G140" s="493"/>
      <c r="H140" s="493"/>
      <c r="I140" s="493"/>
      <c r="J140" s="493"/>
      <c r="K140" s="493"/>
    </row>
    <row r="141" spans="2:11">
      <c r="B141" s="546"/>
      <c r="C141" s="493"/>
      <c r="D141" s="493"/>
      <c r="E141" s="493"/>
      <c r="F141" s="493"/>
      <c r="G141" s="493"/>
      <c r="H141" s="493"/>
      <c r="I141" s="493"/>
      <c r="J141" s="493"/>
      <c r="K141" s="493"/>
    </row>
    <row r="142" spans="2:11">
      <c r="B142" s="546"/>
      <c r="C142" s="493"/>
      <c r="D142" s="493"/>
      <c r="E142" s="493"/>
      <c r="F142" s="493"/>
      <c r="G142" s="493"/>
      <c r="H142" s="493"/>
      <c r="I142" s="493"/>
      <c r="J142" s="493"/>
      <c r="K142" s="493"/>
    </row>
    <row r="143" spans="2:11">
      <c r="B143" s="546"/>
      <c r="C143" s="493"/>
      <c r="D143" s="493"/>
      <c r="E143" s="493"/>
      <c r="F143" s="493"/>
      <c r="G143" s="493"/>
      <c r="H143" s="493"/>
      <c r="I143" s="493"/>
      <c r="J143" s="493"/>
      <c r="K143" s="493"/>
    </row>
    <row r="144" spans="2:11">
      <c r="B144" s="546"/>
      <c r="C144" s="493"/>
      <c r="D144" s="493"/>
      <c r="E144" s="493"/>
      <c r="F144" s="493"/>
      <c r="G144" s="493"/>
      <c r="H144" s="493"/>
      <c r="I144" s="493"/>
      <c r="J144" s="493"/>
      <c r="K144" s="493"/>
    </row>
    <row r="145" spans="2:11">
      <c r="B145" s="546"/>
      <c r="C145" s="493"/>
      <c r="D145" s="493"/>
      <c r="E145" s="493"/>
      <c r="F145" s="493"/>
      <c r="G145" s="493"/>
      <c r="H145" s="493"/>
      <c r="I145" s="493"/>
      <c r="J145" s="493"/>
      <c r="K145" s="493"/>
    </row>
    <row r="146" spans="2:11">
      <c r="B146" s="546"/>
      <c r="C146" s="493"/>
      <c r="D146" s="493"/>
      <c r="E146" s="493"/>
      <c r="F146" s="493"/>
      <c r="G146" s="493"/>
      <c r="H146" s="493"/>
      <c r="I146" s="493"/>
      <c r="J146" s="493"/>
      <c r="K146" s="493"/>
    </row>
    <row r="147" spans="2:11">
      <c r="B147" s="546"/>
      <c r="C147" s="493"/>
      <c r="D147" s="493"/>
      <c r="E147" s="493"/>
      <c r="F147" s="493"/>
      <c r="G147" s="493"/>
      <c r="H147" s="493"/>
      <c r="I147" s="493"/>
      <c r="J147" s="493"/>
      <c r="K147" s="493"/>
    </row>
    <row r="148" spans="2:11">
      <c r="B148" s="546"/>
      <c r="C148" s="493"/>
      <c r="D148" s="493"/>
      <c r="E148" s="493"/>
      <c r="F148" s="493"/>
      <c r="G148" s="493"/>
      <c r="H148" s="493"/>
      <c r="I148" s="493"/>
      <c r="J148" s="493"/>
      <c r="K148" s="493"/>
    </row>
    <row r="149" spans="2:11">
      <c r="B149" s="546"/>
      <c r="C149" s="493"/>
      <c r="D149" s="493"/>
      <c r="E149" s="493"/>
      <c r="F149" s="493"/>
      <c r="G149" s="493"/>
      <c r="H149" s="493"/>
      <c r="I149" s="493"/>
      <c r="J149" s="493"/>
      <c r="K149" s="493"/>
    </row>
    <row r="150" spans="2:11">
      <c r="B150" s="546"/>
      <c r="C150" s="493"/>
      <c r="D150" s="493"/>
      <c r="E150" s="493"/>
      <c r="F150" s="493"/>
      <c r="G150" s="493"/>
      <c r="H150" s="493"/>
      <c r="I150" s="493"/>
      <c r="J150" s="493"/>
      <c r="K150" s="493"/>
    </row>
    <row r="151" spans="2:11">
      <c r="B151" s="546"/>
      <c r="C151" s="493"/>
      <c r="D151" s="493"/>
      <c r="E151" s="493"/>
      <c r="F151" s="493"/>
      <c r="G151" s="493"/>
      <c r="H151" s="493"/>
      <c r="I151" s="493"/>
      <c r="J151" s="493"/>
      <c r="K151" s="493"/>
    </row>
    <row r="152" spans="2:11">
      <c r="B152" s="546"/>
      <c r="C152" s="493"/>
      <c r="D152" s="493"/>
      <c r="E152" s="493"/>
      <c r="F152" s="493"/>
      <c r="G152" s="493"/>
      <c r="H152" s="493"/>
      <c r="I152" s="493"/>
      <c r="J152" s="493"/>
      <c r="K152" s="493"/>
    </row>
    <row r="153" spans="2:11">
      <c r="B153" s="546"/>
      <c r="C153" s="493"/>
      <c r="D153" s="493"/>
      <c r="E153" s="493"/>
      <c r="F153" s="493"/>
      <c r="G153" s="493"/>
      <c r="H153" s="493"/>
      <c r="I153" s="493"/>
      <c r="J153" s="493"/>
      <c r="K153" s="493"/>
    </row>
    <row r="154" spans="2:11">
      <c r="B154" s="546"/>
      <c r="C154" s="493"/>
      <c r="D154" s="493"/>
      <c r="E154" s="493"/>
      <c r="F154" s="493"/>
      <c r="G154" s="493"/>
      <c r="H154" s="493"/>
      <c r="I154" s="493"/>
      <c r="J154" s="493"/>
      <c r="K154" s="493"/>
    </row>
    <row r="155" spans="2:11">
      <c r="B155" s="546"/>
      <c r="C155" s="493"/>
      <c r="D155" s="493"/>
      <c r="E155" s="493"/>
      <c r="F155" s="493"/>
      <c r="G155" s="493"/>
      <c r="H155" s="493"/>
      <c r="I155" s="493"/>
      <c r="J155" s="493"/>
      <c r="K155" s="493"/>
    </row>
    <row r="156" spans="2:11">
      <c r="B156" s="546"/>
      <c r="C156" s="493"/>
      <c r="D156" s="493"/>
      <c r="E156" s="493"/>
      <c r="F156" s="493"/>
      <c r="G156" s="493"/>
      <c r="H156" s="493"/>
      <c r="I156" s="493"/>
      <c r="J156" s="493"/>
      <c r="K156" s="493"/>
    </row>
    <row r="157" spans="2:11">
      <c r="B157" s="546"/>
      <c r="C157" s="493"/>
      <c r="D157" s="493"/>
      <c r="E157" s="493"/>
      <c r="F157" s="493"/>
      <c r="G157" s="493"/>
      <c r="H157" s="493"/>
      <c r="I157" s="493"/>
      <c r="J157" s="493"/>
      <c r="K157" s="493"/>
    </row>
    <row r="158" spans="2:11">
      <c r="B158" s="546"/>
      <c r="C158" s="493"/>
      <c r="D158" s="493"/>
      <c r="E158" s="493"/>
      <c r="F158" s="493"/>
      <c r="G158" s="493"/>
      <c r="H158" s="493"/>
      <c r="I158" s="493"/>
      <c r="J158" s="493"/>
      <c r="K158" s="493"/>
    </row>
    <row r="159" spans="2:11">
      <c r="B159" s="546"/>
      <c r="C159" s="493"/>
      <c r="D159" s="493"/>
      <c r="E159" s="493"/>
      <c r="F159" s="493"/>
      <c r="G159" s="493"/>
      <c r="H159" s="493"/>
      <c r="I159" s="493"/>
      <c r="J159" s="493"/>
      <c r="K159" s="493"/>
    </row>
    <row r="160" spans="2:11">
      <c r="B160" s="546"/>
      <c r="C160" s="493"/>
      <c r="D160" s="493"/>
      <c r="E160" s="493"/>
      <c r="F160" s="493"/>
      <c r="G160" s="493"/>
      <c r="H160" s="493"/>
      <c r="I160" s="493"/>
      <c r="J160" s="493"/>
      <c r="K160" s="493"/>
    </row>
    <row r="161" spans="2:11">
      <c r="B161" s="546"/>
      <c r="C161" s="493"/>
      <c r="D161" s="493"/>
      <c r="E161" s="493"/>
      <c r="F161" s="493"/>
      <c r="G161" s="493"/>
      <c r="H161" s="493"/>
      <c r="I161" s="493"/>
      <c r="J161" s="493"/>
      <c r="K161" s="493"/>
    </row>
    <row r="162" spans="2:11">
      <c r="B162" s="546"/>
      <c r="C162" s="493"/>
      <c r="D162" s="493"/>
      <c r="E162" s="493"/>
      <c r="F162" s="493"/>
      <c r="G162" s="493"/>
      <c r="H162" s="493"/>
      <c r="I162" s="493"/>
      <c r="J162" s="493"/>
      <c r="K162" s="493"/>
    </row>
    <row r="163" spans="2:11">
      <c r="B163" s="546"/>
      <c r="C163" s="493"/>
      <c r="D163" s="493"/>
      <c r="E163" s="493"/>
      <c r="F163" s="493"/>
      <c r="G163" s="493"/>
      <c r="H163" s="493"/>
      <c r="I163" s="493"/>
      <c r="J163" s="493"/>
      <c r="K163" s="493"/>
    </row>
    <row r="164" spans="2:11">
      <c r="B164" s="546"/>
      <c r="C164" s="493"/>
      <c r="D164" s="493"/>
      <c r="E164" s="493"/>
      <c r="F164" s="493"/>
      <c r="G164" s="493"/>
      <c r="H164" s="493"/>
      <c r="I164" s="493"/>
      <c r="J164" s="493"/>
      <c r="K164" s="493"/>
    </row>
    <row r="165" spans="2:11">
      <c r="B165" s="546"/>
      <c r="C165" s="493"/>
      <c r="D165" s="493"/>
      <c r="E165" s="493"/>
      <c r="F165" s="493"/>
      <c r="G165" s="493"/>
      <c r="H165" s="493"/>
      <c r="I165" s="493"/>
      <c r="J165" s="493"/>
      <c r="K165" s="493"/>
    </row>
    <row r="166" spans="2:11">
      <c r="B166" s="546"/>
      <c r="C166" s="493"/>
      <c r="D166" s="493"/>
      <c r="E166" s="493"/>
      <c r="F166" s="493"/>
      <c r="G166" s="493"/>
      <c r="H166" s="493"/>
      <c r="I166" s="493"/>
      <c r="J166" s="493"/>
      <c r="K166" s="493"/>
    </row>
    <row r="167" spans="2:11">
      <c r="B167" s="546"/>
      <c r="C167" s="493"/>
      <c r="D167" s="493"/>
      <c r="E167" s="493"/>
      <c r="F167" s="493"/>
      <c r="G167" s="493"/>
      <c r="H167" s="493"/>
      <c r="I167" s="493"/>
      <c r="J167" s="493"/>
      <c r="K167" s="493"/>
    </row>
    <row r="168" spans="2:11">
      <c r="B168" s="546"/>
      <c r="C168" s="493"/>
      <c r="D168" s="493"/>
      <c r="E168" s="493"/>
      <c r="F168" s="493"/>
      <c r="G168" s="493"/>
      <c r="H168" s="493"/>
      <c r="I168" s="493"/>
      <c r="J168" s="493"/>
      <c r="K168" s="493"/>
    </row>
    <row r="169" spans="2:11">
      <c r="B169" s="546"/>
      <c r="C169" s="493"/>
      <c r="D169" s="493"/>
      <c r="E169" s="493"/>
      <c r="F169" s="493"/>
      <c r="G169" s="493"/>
      <c r="H169" s="493"/>
      <c r="I169" s="493"/>
      <c r="J169" s="493"/>
      <c r="K169" s="493"/>
    </row>
    <row r="170" spans="2:11">
      <c r="B170" s="546"/>
      <c r="C170" s="493"/>
      <c r="D170" s="493"/>
      <c r="E170" s="493"/>
      <c r="F170" s="493"/>
      <c r="G170" s="493"/>
      <c r="H170" s="493"/>
      <c r="I170" s="493"/>
      <c r="J170" s="493"/>
      <c r="K170" s="493"/>
    </row>
    <row r="171" spans="2:11">
      <c r="B171" s="546"/>
      <c r="C171" s="493"/>
      <c r="D171" s="493"/>
      <c r="E171" s="493"/>
      <c r="F171" s="493"/>
      <c r="G171" s="493"/>
      <c r="H171" s="493"/>
      <c r="I171" s="493"/>
      <c r="J171" s="493"/>
      <c r="K171" s="493"/>
    </row>
    <row r="172" spans="2:11">
      <c r="B172" s="546"/>
      <c r="C172" s="493"/>
      <c r="D172" s="493"/>
      <c r="E172" s="493"/>
      <c r="F172" s="493"/>
      <c r="G172" s="493"/>
      <c r="H172" s="493"/>
      <c r="I172" s="493"/>
      <c r="J172" s="493"/>
      <c r="K172" s="493"/>
    </row>
    <row r="173" spans="2:11">
      <c r="B173" s="546"/>
      <c r="C173" s="493"/>
      <c r="D173" s="493"/>
      <c r="E173" s="493"/>
      <c r="F173" s="493"/>
      <c r="G173" s="493"/>
      <c r="H173" s="493"/>
      <c r="I173" s="493"/>
      <c r="J173" s="493"/>
      <c r="K173" s="493"/>
    </row>
    <row r="174" spans="2:11">
      <c r="B174" s="546"/>
      <c r="C174" s="493"/>
      <c r="D174" s="493"/>
      <c r="E174" s="493"/>
      <c r="F174" s="493"/>
      <c r="G174" s="493"/>
      <c r="H174" s="493"/>
      <c r="I174" s="493"/>
      <c r="J174" s="493"/>
      <c r="K174" s="493"/>
    </row>
    <row r="175" spans="2:11">
      <c r="B175" s="546"/>
      <c r="C175" s="493"/>
      <c r="D175" s="493"/>
      <c r="E175" s="493"/>
      <c r="F175" s="493"/>
      <c r="G175" s="493"/>
      <c r="H175" s="493"/>
      <c r="I175" s="493"/>
      <c r="J175" s="493"/>
      <c r="K175" s="493"/>
    </row>
    <row r="176" spans="2:11">
      <c r="B176" s="546"/>
      <c r="C176" s="493"/>
      <c r="D176" s="493"/>
      <c r="E176" s="493"/>
      <c r="F176" s="493"/>
      <c r="G176" s="493"/>
      <c r="H176" s="493"/>
      <c r="I176" s="493"/>
      <c r="J176" s="493"/>
      <c r="K176" s="493"/>
    </row>
    <row r="177" spans="2:11">
      <c r="B177" s="546"/>
      <c r="C177" s="493"/>
      <c r="D177" s="493"/>
      <c r="E177" s="493"/>
      <c r="F177" s="493"/>
      <c r="G177" s="493"/>
      <c r="H177" s="493"/>
      <c r="I177" s="493"/>
      <c r="J177" s="493"/>
      <c r="K177" s="493"/>
    </row>
    <row r="178" spans="2:11">
      <c r="B178" s="546"/>
      <c r="C178" s="493"/>
      <c r="D178" s="493"/>
      <c r="E178" s="493"/>
      <c r="F178" s="493"/>
      <c r="G178" s="493"/>
      <c r="H178" s="493"/>
      <c r="I178" s="493"/>
      <c r="J178" s="493"/>
      <c r="K178" s="493"/>
    </row>
    <row r="179" spans="2:11">
      <c r="B179" s="546"/>
      <c r="C179" s="493"/>
      <c r="D179" s="493"/>
      <c r="E179" s="493"/>
      <c r="F179" s="493"/>
      <c r="G179" s="493"/>
      <c r="H179" s="493"/>
      <c r="I179" s="493"/>
      <c r="J179" s="493"/>
      <c r="K179" s="493"/>
    </row>
    <row r="180" spans="2:11">
      <c r="B180" s="546"/>
      <c r="C180" s="493"/>
      <c r="D180" s="493"/>
      <c r="E180" s="493"/>
      <c r="F180" s="493"/>
      <c r="G180" s="493"/>
      <c r="H180" s="493"/>
      <c r="I180" s="493"/>
      <c r="J180" s="493"/>
      <c r="K180" s="493"/>
    </row>
    <row r="181" spans="2:11">
      <c r="B181" s="546"/>
      <c r="C181" s="493"/>
      <c r="D181" s="493"/>
      <c r="E181" s="493"/>
      <c r="F181" s="493"/>
      <c r="G181" s="493"/>
      <c r="H181" s="493"/>
      <c r="I181" s="493"/>
      <c r="J181" s="493"/>
      <c r="K181" s="493"/>
    </row>
    <row r="182" spans="2:11">
      <c r="B182" s="546"/>
      <c r="C182" s="493"/>
      <c r="D182" s="493"/>
      <c r="E182" s="493"/>
      <c r="F182" s="493"/>
      <c r="G182" s="493"/>
      <c r="H182" s="493"/>
      <c r="I182" s="493"/>
      <c r="J182" s="493"/>
      <c r="K182" s="493"/>
    </row>
    <row r="183" spans="2:11">
      <c r="B183" s="546"/>
      <c r="C183" s="493"/>
      <c r="D183" s="493"/>
      <c r="E183" s="493"/>
      <c r="F183" s="493"/>
      <c r="G183" s="493"/>
      <c r="H183" s="493"/>
      <c r="I183" s="493"/>
      <c r="J183" s="493"/>
      <c r="K183" s="493"/>
    </row>
    <row r="184" spans="2:11">
      <c r="B184" s="546"/>
      <c r="C184" s="493"/>
      <c r="D184" s="493"/>
      <c r="E184" s="493"/>
      <c r="F184" s="493"/>
      <c r="G184" s="493"/>
      <c r="H184" s="493"/>
      <c r="I184" s="493"/>
      <c r="J184" s="493"/>
      <c r="K184" s="493"/>
    </row>
    <row r="185" spans="2:11">
      <c r="B185" s="546"/>
      <c r="C185" s="493"/>
      <c r="D185" s="493"/>
      <c r="E185" s="493"/>
      <c r="F185" s="493"/>
      <c r="G185" s="493"/>
      <c r="H185" s="493"/>
      <c r="I185" s="493"/>
      <c r="J185" s="493"/>
      <c r="K185" s="493"/>
    </row>
    <row r="186" spans="2:11">
      <c r="B186" s="546"/>
      <c r="C186" s="493"/>
      <c r="D186" s="493"/>
      <c r="E186" s="493"/>
      <c r="F186" s="493"/>
      <c r="G186" s="493"/>
      <c r="H186" s="493"/>
      <c r="I186" s="493"/>
      <c r="J186" s="493"/>
      <c r="K186" s="493"/>
    </row>
    <row r="187" spans="2:11">
      <c r="B187" s="546"/>
      <c r="C187" s="493"/>
      <c r="D187" s="493"/>
      <c r="E187" s="493"/>
      <c r="F187" s="493"/>
      <c r="G187" s="493"/>
      <c r="H187" s="493"/>
      <c r="I187" s="493"/>
      <c r="J187" s="493"/>
      <c r="K187" s="493"/>
    </row>
    <row r="188" spans="2:11">
      <c r="B188" s="546"/>
      <c r="C188" s="493"/>
      <c r="D188" s="493"/>
      <c r="E188" s="493"/>
      <c r="F188" s="493"/>
      <c r="G188" s="493"/>
      <c r="H188" s="493"/>
      <c r="I188" s="493"/>
      <c r="J188" s="493"/>
      <c r="K188" s="493"/>
    </row>
    <row r="189" spans="2:11">
      <c r="B189" s="546"/>
      <c r="C189" s="493"/>
      <c r="D189" s="493"/>
      <c r="E189" s="493"/>
      <c r="F189" s="493"/>
      <c r="G189" s="493"/>
      <c r="H189" s="493"/>
      <c r="I189" s="493"/>
      <c r="J189" s="493"/>
      <c r="K189" s="493"/>
    </row>
    <row r="190" spans="2:11">
      <c r="B190" s="546"/>
      <c r="C190" s="493"/>
      <c r="D190" s="493"/>
      <c r="E190" s="493"/>
      <c r="F190" s="493"/>
      <c r="G190" s="493"/>
      <c r="H190" s="493"/>
      <c r="I190" s="493"/>
      <c r="J190" s="493"/>
      <c r="K190" s="493"/>
    </row>
    <row r="191" spans="2:11">
      <c r="B191" s="546"/>
      <c r="C191" s="493"/>
      <c r="D191" s="493"/>
      <c r="E191" s="493"/>
      <c r="F191" s="493"/>
      <c r="G191" s="493"/>
      <c r="H191" s="493"/>
      <c r="I191" s="493"/>
      <c r="J191" s="493"/>
      <c r="K191" s="493"/>
    </row>
    <row r="192" spans="2:11">
      <c r="B192" s="546"/>
      <c r="C192" s="493"/>
      <c r="D192" s="493"/>
      <c r="E192" s="493"/>
      <c r="F192" s="493"/>
      <c r="G192" s="493"/>
      <c r="H192" s="493"/>
      <c r="I192" s="493"/>
      <c r="J192" s="493"/>
      <c r="K192" s="493"/>
    </row>
    <row r="193" spans="2:11">
      <c r="B193" s="546"/>
      <c r="C193" s="493"/>
      <c r="D193" s="493"/>
      <c r="E193" s="493"/>
      <c r="F193" s="493"/>
      <c r="G193" s="493"/>
      <c r="H193" s="493"/>
      <c r="I193" s="493"/>
      <c r="J193" s="493"/>
      <c r="K193" s="493"/>
    </row>
    <row r="194" spans="2:11">
      <c r="B194" s="546"/>
      <c r="C194" s="493"/>
      <c r="D194" s="493"/>
      <c r="E194" s="493"/>
      <c r="F194" s="493"/>
      <c r="G194" s="493"/>
      <c r="H194" s="493"/>
      <c r="I194" s="493"/>
      <c r="J194" s="493"/>
      <c r="K194" s="493"/>
    </row>
    <row r="195" spans="2:11">
      <c r="B195" s="546"/>
      <c r="C195" s="493"/>
      <c r="D195" s="493"/>
      <c r="E195" s="493"/>
      <c r="F195" s="493"/>
      <c r="G195" s="493"/>
      <c r="H195" s="493"/>
      <c r="I195" s="493"/>
      <c r="J195" s="493"/>
      <c r="K195" s="493"/>
    </row>
    <row r="196" spans="2:11">
      <c r="B196" s="546"/>
      <c r="C196" s="493"/>
      <c r="D196" s="493"/>
      <c r="E196" s="493"/>
      <c r="F196" s="493"/>
      <c r="G196" s="493"/>
      <c r="H196" s="493"/>
      <c r="I196" s="493"/>
      <c r="J196" s="493"/>
      <c r="K196" s="493"/>
    </row>
    <row r="197" spans="2:11">
      <c r="B197" s="546"/>
      <c r="C197" s="493"/>
      <c r="D197" s="493"/>
      <c r="E197" s="493"/>
      <c r="F197" s="493"/>
      <c r="G197" s="493"/>
      <c r="H197" s="493"/>
      <c r="I197" s="493"/>
      <c r="J197" s="493"/>
      <c r="K197" s="493"/>
    </row>
    <row r="198" spans="2:11">
      <c r="B198" s="546"/>
      <c r="C198" s="493"/>
      <c r="D198" s="493"/>
      <c r="E198" s="493"/>
      <c r="F198" s="493"/>
      <c r="G198" s="493"/>
      <c r="H198" s="493"/>
      <c r="I198" s="493"/>
      <c r="J198" s="493"/>
      <c r="K198" s="493"/>
    </row>
    <row r="199" spans="2:11">
      <c r="B199" s="546"/>
      <c r="C199" s="493"/>
      <c r="D199" s="493"/>
      <c r="E199" s="493"/>
      <c r="F199" s="493"/>
      <c r="G199" s="493"/>
      <c r="H199" s="493"/>
      <c r="I199" s="493"/>
      <c r="J199" s="493"/>
      <c r="K199" s="493"/>
    </row>
    <row r="200" spans="2:11">
      <c r="B200" s="546"/>
      <c r="C200" s="493"/>
      <c r="D200" s="493"/>
      <c r="E200" s="493"/>
      <c r="F200" s="493"/>
      <c r="G200" s="493"/>
      <c r="H200" s="493"/>
      <c r="I200" s="493"/>
      <c r="J200" s="493"/>
      <c r="K200" s="493"/>
    </row>
    <row r="201" spans="2:11">
      <c r="B201" s="546"/>
      <c r="C201" s="493"/>
      <c r="D201" s="493"/>
      <c r="E201" s="493"/>
      <c r="F201" s="493"/>
      <c r="G201" s="493"/>
      <c r="H201" s="493"/>
      <c r="I201" s="493"/>
      <c r="J201" s="493"/>
      <c r="K201" s="493"/>
    </row>
    <row r="202" spans="2:11">
      <c r="B202" s="546"/>
      <c r="C202" s="493"/>
      <c r="D202" s="493"/>
      <c r="E202" s="493"/>
      <c r="F202" s="493"/>
      <c r="G202" s="493"/>
      <c r="H202" s="493"/>
      <c r="I202" s="493"/>
      <c r="J202" s="493"/>
      <c r="K202" s="493"/>
    </row>
    <row r="203" spans="2:11">
      <c r="B203" s="546"/>
      <c r="C203" s="493"/>
      <c r="D203" s="493"/>
      <c r="E203" s="493"/>
      <c r="F203" s="493"/>
      <c r="G203" s="493"/>
      <c r="H203" s="493"/>
      <c r="I203" s="493"/>
      <c r="J203" s="493"/>
      <c r="K203" s="493"/>
    </row>
    <row r="204" spans="2:11">
      <c r="B204" s="546"/>
      <c r="C204" s="493"/>
      <c r="D204" s="493"/>
      <c r="E204" s="493"/>
      <c r="F204" s="493"/>
      <c r="G204" s="493"/>
      <c r="H204" s="493"/>
      <c r="I204" s="493"/>
      <c r="J204" s="493"/>
      <c r="K204" s="493"/>
    </row>
    <row r="205" spans="2:11">
      <c r="B205" s="546"/>
      <c r="C205" s="493"/>
      <c r="D205" s="493"/>
      <c r="E205" s="493"/>
      <c r="F205" s="493"/>
      <c r="G205" s="493"/>
      <c r="H205" s="493"/>
      <c r="I205" s="493"/>
      <c r="J205" s="493"/>
      <c r="K205" s="493"/>
    </row>
    <row r="206" spans="2:11">
      <c r="B206" s="546"/>
      <c r="C206" s="493"/>
      <c r="D206" s="493"/>
      <c r="E206" s="493"/>
      <c r="F206" s="493"/>
      <c r="G206" s="493"/>
      <c r="H206" s="493"/>
      <c r="I206" s="493"/>
      <c r="J206" s="493"/>
      <c r="K206" s="493"/>
    </row>
    <row r="207" spans="2:11">
      <c r="B207" s="546"/>
      <c r="C207" s="493"/>
      <c r="D207" s="493"/>
      <c r="E207" s="493"/>
      <c r="F207" s="493"/>
      <c r="G207" s="493"/>
      <c r="H207" s="493"/>
      <c r="I207" s="493"/>
      <c r="J207" s="493"/>
      <c r="K207" s="493"/>
    </row>
    <row r="208" spans="2:11">
      <c r="B208" s="546"/>
      <c r="C208" s="493"/>
      <c r="D208" s="493"/>
      <c r="E208" s="493"/>
      <c r="F208" s="493"/>
      <c r="G208" s="493"/>
      <c r="H208" s="493"/>
      <c r="I208" s="493"/>
      <c r="J208" s="493"/>
      <c r="K208" s="493"/>
    </row>
    <row r="209" spans="2:11">
      <c r="B209" s="546"/>
      <c r="C209" s="493"/>
      <c r="D209" s="493"/>
      <c r="E209" s="493"/>
      <c r="F209" s="493"/>
      <c r="G209" s="493"/>
      <c r="H209" s="493"/>
      <c r="I209" s="493"/>
      <c r="J209" s="493"/>
      <c r="K209" s="493"/>
    </row>
    <row r="210" spans="2:11">
      <c r="B210" s="546"/>
      <c r="C210" s="493"/>
      <c r="D210" s="493"/>
      <c r="E210" s="493"/>
      <c r="F210" s="493"/>
      <c r="G210" s="493"/>
      <c r="H210" s="493"/>
      <c r="I210" s="493"/>
      <c r="J210" s="493"/>
      <c r="K210" s="493"/>
    </row>
    <row r="211" spans="2:11" ht="14.25" customHeight="1">
      <c r="B211" s="546"/>
      <c r="C211" s="493"/>
      <c r="D211" s="493"/>
      <c r="E211" s="493"/>
      <c r="F211" s="493"/>
      <c r="G211" s="493"/>
      <c r="H211" s="493"/>
      <c r="I211" s="493"/>
      <c r="J211" s="493"/>
      <c r="K211" s="493"/>
    </row>
    <row r="212" spans="2:11" ht="12.75" customHeight="1">
      <c r="B212" s="546"/>
      <c r="C212" s="493"/>
      <c r="D212" s="493"/>
      <c r="E212" s="493"/>
      <c r="F212" s="493"/>
      <c r="G212" s="493"/>
      <c r="H212" s="493"/>
      <c r="I212" s="493"/>
      <c r="J212" s="493"/>
      <c r="K212" s="493"/>
    </row>
    <row r="213" spans="2:11" ht="12.75" customHeight="1">
      <c r="B213" s="546"/>
      <c r="C213" s="493"/>
      <c r="D213" s="493"/>
      <c r="E213" s="493"/>
      <c r="F213" s="493"/>
      <c r="G213" s="493"/>
      <c r="H213" s="493"/>
      <c r="I213" s="493"/>
      <c r="J213" s="493"/>
      <c r="K213" s="493"/>
    </row>
    <row r="214" spans="2:11" ht="12.75" customHeight="1">
      <c r="B214" s="546"/>
      <c r="C214" s="493"/>
      <c r="D214" s="493"/>
      <c r="E214" s="493"/>
      <c r="F214" s="493"/>
      <c r="G214" s="493"/>
      <c r="H214" s="493"/>
      <c r="I214" s="493"/>
      <c r="J214" s="493"/>
      <c r="K214" s="493"/>
    </row>
    <row r="215" spans="2:11" ht="12.75" customHeight="1">
      <c r="B215" s="546"/>
      <c r="C215" s="493"/>
      <c r="D215" s="493"/>
      <c r="E215" s="493"/>
      <c r="F215" s="493"/>
      <c r="G215" s="493"/>
      <c r="H215" s="493"/>
      <c r="I215" s="493"/>
      <c r="J215" s="493"/>
      <c r="K215" s="493"/>
    </row>
    <row r="216" spans="2:11" ht="12.75" customHeight="1">
      <c r="B216" s="546"/>
      <c r="C216" s="493"/>
      <c r="D216" s="493"/>
      <c r="E216" s="493"/>
      <c r="F216" s="493"/>
      <c r="G216" s="493"/>
      <c r="H216" s="493"/>
      <c r="I216" s="493"/>
      <c r="J216" s="493"/>
      <c r="K216" s="493"/>
    </row>
    <row r="217" spans="2:11" ht="12.75" customHeight="1">
      <c r="B217" s="546"/>
      <c r="C217" s="493"/>
      <c r="D217" s="493"/>
      <c r="E217" s="493"/>
      <c r="F217" s="493"/>
      <c r="G217" s="493"/>
      <c r="H217" s="493"/>
      <c r="I217" s="493"/>
      <c r="J217" s="493"/>
      <c r="K217" s="493"/>
    </row>
    <row r="218" spans="2:11" ht="12.75" customHeight="1">
      <c r="B218" s="546"/>
      <c r="C218" s="493"/>
      <c r="D218" s="493"/>
      <c r="E218" s="493"/>
      <c r="F218" s="493"/>
      <c r="G218" s="493"/>
      <c r="H218" s="493"/>
      <c r="I218" s="493"/>
      <c r="J218" s="493"/>
      <c r="K218" s="493"/>
    </row>
    <row r="219" spans="2:11" ht="12.75" customHeight="1">
      <c r="B219" s="546"/>
      <c r="C219" s="493"/>
      <c r="D219" s="493"/>
      <c r="E219" s="493"/>
      <c r="F219" s="493"/>
      <c r="G219" s="493"/>
      <c r="H219" s="493"/>
      <c r="I219" s="493"/>
      <c r="J219" s="493"/>
      <c r="K219" s="493"/>
    </row>
    <row r="220" spans="2:11" ht="12.75" customHeight="1">
      <c r="B220" s="546"/>
      <c r="C220" s="493"/>
      <c r="D220" s="493"/>
      <c r="E220" s="493"/>
      <c r="F220" s="493"/>
      <c r="G220" s="493"/>
      <c r="H220" s="493"/>
      <c r="I220" s="493"/>
      <c r="J220" s="493"/>
      <c r="K220" s="493"/>
    </row>
    <row r="221" spans="2:11" ht="12.75" customHeight="1">
      <c r="B221" s="546"/>
      <c r="C221" s="493"/>
      <c r="D221" s="493"/>
      <c r="E221" s="493"/>
      <c r="F221" s="493"/>
      <c r="G221" s="493"/>
      <c r="H221" s="493"/>
      <c r="I221" s="493"/>
      <c r="J221" s="493"/>
      <c r="K221" s="493"/>
    </row>
    <row r="222" spans="2:11" ht="12.75" customHeight="1">
      <c r="B222" s="546"/>
      <c r="C222" s="493"/>
      <c r="D222" s="493"/>
      <c r="E222" s="493"/>
      <c r="F222" s="493"/>
      <c r="G222" s="493"/>
      <c r="H222" s="493"/>
      <c r="I222" s="493"/>
      <c r="J222" s="493"/>
      <c r="K222" s="493"/>
    </row>
    <row r="223" spans="2:11" ht="12.75" customHeight="1">
      <c r="B223" s="546"/>
      <c r="C223" s="493"/>
      <c r="D223" s="493"/>
      <c r="E223" s="493"/>
      <c r="F223" s="493"/>
      <c r="G223" s="493"/>
      <c r="H223" s="493"/>
      <c r="I223" s="493"/>
      <c r="J223" s="493"/>
      <c r="K223" s="493"/>
    </row>
    <row r="224" spans="2:11" ht="12.75" customHeight="1">
      <c r="B224" s="546"/>
      <c r="C224" s="493"/>
      <c r="D224" s="493"/>
      <c r="E224" s="493"/>
      <c r="F224" s="493"/>
      <c r="G224" s="493"/>
      <c r="H224" s="493"/>
      <c r="I224" s="493"/>
      <c r="J224" s="493"/>
      <c r="K224" s="493"/>
    </row>
    <row r="225" spans="2:11" ht="12.75" customHeight="1">
      <c r="B225" s="546"/>
      <c r="C225" s="493"/>
      <c r="D225" s="493"/>
      <c r="E225" s="493"/>
      <c r="F225" s="493"/>
      <c r="G225" s="493"/>
      <c r="H225" s="493"/>
      <c r="I225" s="493"/>
      <c r="J225" s="493"/>
      <c r="K225" s="493"/>
    </row>
    <row r="226" spans="2:11" ht="12.75" customHeight="1">
      <c r="B226" s="546"/>
      <c r="C226" s="493"/>
      <c r="D226" s="493"/>
      <c r="E226" s="493"/>
      <c r="F226" s="493"/>
      <c r="G226" s="493"/>
      <c r="H226" s="493"/>
      <c r="I226" s="493"/>
      <c r="J226" s="493"/>
      <c r="K226" s="493"/>
    </row>
    <row r="227" spans="2:11">
      <c r="B227" s="546"/>
      <c r="C227" s="493"/>
      <c r="D227" s="493"/>
      <c r="E227" s="493"/>
      <c r="F227" s="493"/>
      <c r="G227" s="493"/>
      <c r="H227" s="493"/>
      <c r="I227" s="493"/>
      <c r="J227" s="493"/>
      <c r="K227" s="493"/>
    </row>
    <row r="228" spans="2:11">
      <c r="B228" s="546"/>
      <c r="C228" s="493"/>
      <c r="D228" s="493"/>
      <c r="E228" s="493"/>
      <c r="F228" s="493"/>
      <c r="G228" s="493"/>
      <c r="H228" s="493"/>
      <c r="I228" s="493"/>
      <c r="J228" s="493"/>
      <c r="K228" s="493"/>
    </row>
    <row r="229" spans="2:11">
      <c r="B229" s="546"/>
      <c r="C229" s="493"/>
      <c r="D229" s="493"/>
      <c r="E229" s="493"/>
      <c r="F229" s="493"/>
      <c r="G229" s="493"/>
      <c r="H229" s="493"/>
      <c r="I229" s="493"/>
      <c r="J229" s="493"/>
      <c r="K229" s="493"/>
    </row>
    <row r="230" spans="2:11">
      <c r="B230" s="546"/>
      <c r="C230" s="493"/>
      <c r="D230" s="493"/>
      <c r="E230" s="493"/>
      <c r="F230" s="493"/>
      <c r="G230" s="493"/>
      <c r="H230" s="493"/>
      <c r="I230" s="493"/>
      <c r="J230" s="493"/>
      <c r="K230" s="493"/>
    </row>
    <row r="231" spans="2:11">
      <c r="B231" s="546"/>
      <c r="C231" s="493"/>
      <c r="D231" s="493"/>
      <c r="E231" s="493"/>
      <c r="F231" s="493"/>
      <c r="G231" s="493"/>
      <c r="H231" s="493"/>
      <c r="I231" s="493"/>
      <c r="J231" s="493"/>
      <c r="K231" s="493"/>
    </row>
    <row r="232" spans="2:11">
      <c r="B232" s="546"/>
      <c r="C232" s="493"/>
      <c r="D232" s="493"/>
      <c r="E232" s="493"/>
      <c r="F232" s="493"/>
      <c r="G232" s="493"/>
      <c r="H232" s="493"/>
      <c r="I232" s="493"/>
      <c r="J232" s="493"/>
      <c r="K232" s="493"/>
    </row>
    <row r="233" spans="2:11">
      <c r="B233" s="546"/>
      <c r="C233" s="493"/>
      <c r="D233" s="493"/>
      <c r="E233" s="493"/>
      <c r="F233" s="493"/>
      <c r="G233" s="493"/>
      <c r="H233" s="493"/>
      <c r="I233" s="493"/>
      <c r="J233" s="493"/>
      <c r="K233" s="493"/>
    </row>
    <row r="234" spans="2:11">
      <c r="B234" s="546"/>
      <c r="C234" s="493"/>
      <c r="D234" s="493"/>
      <c r="E234" s="493"/>
      <c r="F234" s="493"/>
      <c r="G234" s="493"/>
      <c r="H234" s="493"/>
      <c r="I234" s="493"/>
      <c r="J234" s="493"/>
      <c r="K234" s="493"/>
    </row>
    <row r="235" spans="2:11">
      <c r="B235" s="546"/>
      <c r="C235" s="493"/>
      <c r="D235" s="493"/>
      <c r="E235" s="493"/>
      <c r="F235" s="493"/>
      <c r="G235" s="493"/>
      <c r="H235" s="493"/>
      <c r="I235" s="493"/>
      <c r="J235" s="493"/>
      <c r="K235" s="493"/>
    </row>
    <row r="236" spans="2:11">
      <c r="B236" s="546"/>
      <c r="C236" s="493"/>
      <c r="D236" s="493"/>
      <c r="E236" s="493"/>
      <c r="F236" s="493"/>
      <c r="G236" s="493"/>
      <c r="H236" s="493"/>
      <c r="I236" s="493"/>
      <c r="J236" s="493"/>
      <c r="K236" s="493"/>
    </row>
    <row r="237" spans="2:11">
      <c r="B237" s="546"/>
      <c r="C237" s="493"/>
      <c r="D237" s="493"/>
      <c r="E237" s="493"/>
      <c r="F237" s="493"/>
      <c r="G237" s="493"/>
      <c r="H237" s="493"/>
      <c r="I237" s="493"/>
      <c r="J237" s="493"/>
      <c r="K237" s="493"/>
    </row>
    <row r="238" spans="2:11">
      <c r="B238" s="546"/>
      <c r="C238" s="493"/>
      <c r="D238" s="493"/>
      <c r="E238" s="493"/>
      <c r="F238" s="493"/>
      <c r="G238" s="493"/>
      <c r="H238" s="493"/>
      <c r="I238" s="493"/>
      <c r="J238" s="493"/>
      <c r="K238" s="493"/>
    </row>
    <row r="239" spans="2:11">
      <c r="B239" s="546"/>
      <c r="C239" s="493"/>
      <c r="D239" s="493"/>
      <c r="E239" s="493"/>
      <c r="F239" s="493"/>
      <c r="G239" s="493"/>
      <c r="H239" s="493"/>
      <c r="I239" s="493"/>
      <c r="J239" s="493"/>
      <c r="K239" s="493"/>
    </row>
    <row r="240" spans="2:11">
      <c r="B240" s="546"/>
      <c r="C240" s="493"/>
      <c r="D240" s="493"/>
      <c r="E240" s="493"/>
      <c r="F240" s="493"/>
      <c r="G240" s="493"/>
      <c r="H240" s="493"/>
      <c r="I240" s="493"/>
      <c r="J240" s="493"/>
      <c r="K240" s="493"/>
    </row>
    <row r="241" spans="2:11">
      <c r="B241" s="546"/>
      <c r="C241" s="493"/>
      <c r="D241" s="493"/>
      <c r="E241" s="493"/>
      <c r="F241" s="493"/>
      <c r="G241" s="493"/>
      <c r="H241" s="493"/>
      <c r="I241" s="493"/>
      <c r="J241" s="493"/>
      <c r="K241" s="493"/>
    </row>
    <row r="242" spans="2:11">
      <c r="B242" s="546"/>
      <c r="C242" s="493"/>
      <c r="D242" s="493"/>
      <c r="E242" s="493"/>
      <c r="F242" s="493"/>
      <c r="G242" s="493"/>
      <c r="H242" s="493"/>
      <c r="I242" s="493"/>
      <c r="J242" s="493"/>
      <c r="K242" s="493"/>
    </row>
    <row r="243" spans="2:11">
      <c r="B243" s="546"/>
      <c r="C243" s="493"/>
      <c r="D243" s="493"/>
      <c r="E243" s="493"/>
      <c r="F243" s="493"/>
      <c r="G243" s="493"/>
      <c r="H243" s="493"/>
      <c r="I243" s="493"/>
      <c r="J243" s="493"/>
      <c r="K243" s="493"/>
    </row>
    <row r="244" spans="2:11">
      <c r="B244" s="546"/>
      <c r="C244" s="493"/>
      <c r="D244" s="493"/>
      <c r="E244" s="493"/>
      <c r="F244" s="493"/>
      <c r="G244" s="493"/>
      <c r="H244" s="493"/>
      <c r="I244" s="493"/>
      <c r="J244" s="493"/>
      <c r="K244" s="493"/>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157"/>
  <sheetViews>
    <sheetView topLeftCell="A25" zoomScale="80" zoomScaleNormal="80" zoomScaleSheetLayoutView="100" zoomScalePageLayoutView="80" workbookViewId="0">
      <selection activeCell="H53" sqref="H53"/>
    </sheetView>
  </sheetViews>
  <sheetFormatPr defaultColWidth="8.7109375" defaultRowHeight="12.75"/>
  <cols>
    <col min="1" max="2" width="1.7109375" style="493" customWidth="1"/>
    <col min="3" max="3" width="11.5703125" style="493" customWidth="1"/>
    <col min="4" max="4" width="1.7109375" style="548" customWidth="1"/>
    <col min="5" max="5" width="11" style="493" customWidth="1"/>
    <col min="6" max="6" width="1.5703125" style="493" customWidth="1"/>
    <col min="7" max="7" width="54.7109375" style="493" customWidth="1"/>
    <col min="8" max="8" width="20.42578125" style="549" bestFit="1" customWidth="1"/>
    <col min="9" max="9" width="12.42578125" style="493" customWidth="1"/>
    <col min="10" max="10" width="13.7109375" style="493" customWidth="1"/>
    <col min="11" max="11" width="14.7109375" style="493" customWidth="1"/>
    <col min="12" max="12" width="14.42578125" style="493" customWidth="1"/>
    <col min="13" max="14" width="13.7109375" style="493" customWidth="1"/>
    <col min="15" max="15" width="8.7109375" style="493"/>
    <col min="16" max="16" width="14.140625" style="493" customWidth="1"/>
    <col min="17" max="16384" width="8.7109375" style="493"/>
  </cols>
  <sheetData>
    <row r="1" spans="1:24" ht="15">
      <c r="A1" s="547"/>
    </row>
    <row r="2" spans="1:24" ht="20.25">
      <c r="A2" s="550"/>
      <c r="B2" s="551"/>
      <c r="D2" s="493"/>
      <c r="I2" s="500"/>
      <c r="J2" s="500"/>
      <c r="K2" s="500"/>
      <c r="L2" s="500"/>
      <c r="M2" s="500"/>
      <c r="N2" s="504"/>
    </row>
    <row r="3" spans="1:24" ht="20.25" customHeight="1">
      <c r="A3" s="504"/>
      <c r="B3" s="503"/>
      <c r="C3" s="2200" t="str">
        <f>+'OKT TCOS'!F4</f>
        <v xml:space="preserve">AEP West SPP Member Transmission Companies </v>
      </c>
      <c r="D3" s="2200"/>
      <c r="E3" s="2200"/>
      <c r="F3" s="2200"/>
      <c r="G3" s="2200"/>
      <c r="H3" s="2200"/>
      <c r="I3" s="2200"/>
      <c r="J3" s="2200"/>
      <c r="K3" s="2200"/>
      <c r="L3" s="2200"/>
      <c r="M3" s="2200"/>
      <c r="N3" s="2200"/>
    </row>
    <row r="4" spans="1:24" ht="20.25" customHeight="1">
      <c r="C4" s="2198" t="str">
        <f>+'OKT TCOS'!F8</f>
        <v>AEP OKLAHOMA TRANSMISSION COMPANY, INC.</v>
      </c>
      <c r="D4" s="2198"/>
      <c r="E4" s="2198"/>
      <c r="F4" s="2198"/>
      <c r="G4" s="2198"/>
      <c r="H4" s="2198"/>
      <c r="I4" s="2198"/>
      <c r="J4" s="2198"/>
      <c r="K4" s="2198"/>
      <c r="L4" s="2198"/>
      <c r="M4" s="2198"/>
      <c r="N4" s="2198"/>
    </row>
    <row r="5" spans="1:24" ht="22.5" customHeight="1">
      <c r="C5" s="2198" t="s">
        <v>625</v>
      </c>
      <c r="D5" s="2198"/>
      <c r="E5" s="2198"/>
      <c r="F5" s="2198"/>
      <c r="G5" s="2198"/>
      <c r="H5" s="2198"/>
      <c r="I5" s="2198"/>
      <c r="J5" s="2198"/>
      <c r="K5" s="2198"/>
      <c r="L5" s="2198"/>
      <c r="M5" s="2198"/>
      <c r="N5" s="2198"/>
    </row>
    <row r="6" spans="1:24" ht="18" customHeight="1">
      <c r="C6" s="2203" t="str">
        <f>"AS OF DECEMBER 31, "&amp;'OKT TCOS'!N2</f>
        <v>AS OF DECEMBER 31, 2022</v>
      </c>
      <c r="D6" s="2203"/>
      <c r="E6" s="2203"/>
      <c r="F6" s="2203"/>
      <c r="G6" s="2203"/>
      <c r="H6" s="2203"/>
      <c r="I6" s="2203"/>
      <c r="J6" s="2203"/>
      <c r="K6" s="2203"/>
      <c r="L6" s="2203"/>
      <c r="M6" s="2203"/>
      <c r="N6" s="2203"/>
    </row>
    <row r="7" spans="1:24">
      <c r="D7" s="493"/>
    </row>
    <row r="8" spans="1:24">
      <c r="D8" s="493"/>
      <c r="J8" s="2202" t="s">
        <v>149</v>
      </c>
      <c r="K8" s="2202"/>
      <c r="L8" s="2202"/>
      <c r="M8" s="2202"/>
      <c r="N8" s="2202"/>
    </row>
    <row r="9" spans="1:24" ht="25.5">
      <c r="C9" s="552" t="s">
        <v>387</v>
      </c>
      <c r="D9" s="553"/>
      <c r="E9" s="552" t="s">
        <v>150</v>
      </c>
      <c r="G9" s="552" t="s">
        <v>303</v>
      </c>
      <c r="H9" s="554" t="s">
        <v>313</v>
      </c>
      <c r="I9" s="555" t="s">
        <v>84</v>
      </c>
      <c r="J9" s="555" t="s">
        <v>151</v>
      </c>
      <c r="K9" s="555" t="s">
        <v>152</v>
      </c>
      <c r="L9" s="552" t="s">
        <v>153</v>
      </c>
      <c r="M9" s="552" t="s">
        <v>154</v>
      </c>
      <c r="N9" s="552" t="s">
        <v>297</v>
      </c>
    </row>
    <row r="10" spans="1:24">
      <c r="C10" s="2068">
        <v>2821001</v>
      </c>
      <c r="D10" s="2078" t="s">
        <v>334</v>
      </c>
      <c r="E10" s="2069" t="s">
        <v>1289</v>
      </c>
      <c r="F10" s="558"/>
      <c r="G10" s="557" t="s">
        <v>1290</v>
      </c>
      <c r="H10" s="559">
        <v>-118025673.66</v>
      </c>
      <c r="I10" s="560" t="s">
        <v>55</v>
      </c>
      <c r="J10" s="1926"/>
      <c r="K10" s="523">
        <f>IF($I10="T",$H10," ")-J10</f>
        <v>-118025673.66</v>
      </c>
      <c r="L10" s="523" t="str">
        <f t="shared" ref="L10:L28" si="0">IF($I10="PTD",$H10," ")</f>
        <v xml:space="preserve"> </v>
      </c>
      <c r="M10" s="561" t="str">
        <f t="shared" ref="M10:M28" si="1">IF($I10="T&amp;D",$H10," ")</f>
        <v xml:space="preserve"> </v>
      </c>
      <c r="N10" s="561" t="str">
        <f t="shared" ref="N10" si="2">IF(I10="Labor",H10," ")</f>
        <v xml:space="preserve"> </v>
      </c>
      <c r="P10" s="131"/>
      <c r="Q10" s="131"/>
      <c r="R10" s="131"/>
      <c r="S10" s="131"/>
      <c r="T10" s="131"/>
      <c r="U10" s="131"/>
      <c r="V10" s="131"/>
      <c r="W10" s="131"/>
      <c r="X10" s="131"/>
    </row>
    <row r="11" spans="1:24">
      <c r="C11" s="2068">
        <v>2821001</v>
      </c>
      <c r="D11" s="2078"/>
      <c r="E11" s="2069" t="s">
        <v>1291</v>
      </c>
      <c r="F11" s="558"/>
      <c r="G11" s="557" t="s">
        <v>1292</v>
      </c>
      <c r="H11" s="559">
        <v>-0.23</v>
      </c>
      <c r="I11" s="560" t="s">
        <v>55</v>
      </c>
      <c r="J11" s="561"/>
      <c r="K11" s="523">
        <f t="shared" ref="K11:K28" si="3">IF($I11="T",$H11," ")</f>
        <v>-0.23</v>
      </c>
      <c r="L11" s="523"/>
      <c r="M11" s="561"/>
      <c r="N11" s="561"/>
      <c r="P11" s="131"/>
      <c r="Q11" s="131"/>
      <c r="R11" s="131"/>
      <c r="S11" s="131"/>
      <c r="T11" s="131"/>
      <c r="U11" s="131"/>
      <c r="V11" s="131"/>
      <c r="W11" s="131"/>
      <c r="X11" s="131"/>
    </row>
    <row r="12" spans="1:24">
      <c r="C12" s="2068">
        <v>2821001</v>
      </c>
      <c r="D12" s="2078" t="s">
        <v>334</v>
      </c>
      <c r="E12" s="2069" t="s">
        <v>1293</v>
      </c>
      <c r="F12" s="558"/>
      <c r="G12" s="557" t="s">
        <v>1294</v>
      </c>
      <c r="H12" s="559">
        <v>-1592.43</v>
      </c>
      <c r="I12" s="560" t="s">
        <v>288</v>
      </c>
      <c r="J12" s="561">
        <f t="shared" ref="J12:J20" si="4">IF(I12="e",H12," ")</f>
        <v>-1592.43</v>
      </c>
      <c r="K12" s="523" t="str">
        <f t="shared" si="3"/>
        <v xml:space="preserve"> </v>
      </c>
      <c r="L12" s="523" t="str">
        <f t="shared" si="0"/>
        <v xml:space="preserve"> </v>
      </c>
      <c r="M12" s="561" t="str">
        <f t="shared" si="1"/>
        <v xml:space="preserve"> </v>
      </c>
      <c r="N12" s="561" t="str">
        <f t="shared" ref="N12:N20" si="5">IF(I12="Labor",H12," ")</f>
        <v xml:space="preserve"> </v>
      </c>
      <c r="P12" s="131"/>
      <c r="Q12" s="131"/>
      <c r="R12" s="131"/>
      <c r="S12" s="131"/>
      <c r="T12" s="131"/>
      <c r="U12" s="131"/>
      <c r="V12" s="131"/>
      <c r="W12" s="131"/>
      <c r="X12" s="131"/>
    </row>
    <row r="13" spans="1:24">
      <c r="C13" s="2068">
        <v>2821001</v>
      </c>
      <c r="D13" s="2078"/>
      <c r="E13" s="2069" t="s">
        <v>1295</v>
      </c>
      <c r="F13" s="558"/>
      <c r="G13" s="557" t="s">
        <v>1296</v>
      </c>
      <c r="H13" s="559">
        <v>-48795.18</v>
      </c>
      <c r="I13" s="560" t="s">
        <v>55</v>
      </c>
      <c r="J13" s="561"/>
      <c r="K13" s="523">
        <f t="shared" si="3"/>
        <v>-48795.18</v>
      </c>
      <c r="L13" s="523"/>
      <c r="M13" s="561"/>
      <c r="N13" s="561"/>
      <c r="P13" s="131"/>
      <c r="Q13" s="131"/>
      <c r="R13" s="131"/>
      <c r="S13" s="131"/>
      <c r="T13" s="131"/>
      <c r="U13" s="131"/>
      <c r="V13" s="131"/>
      <c r="W13" s="131"/>
      <c r="X13" s="131"/>
    </row>
    <row r="14" spans="1:24">
      <c r="C14" s="2068">
        <v>2821001</v>
      </c>
      <c r="D14" s="2078" t="s">
        <v>334</v>
      </c>
      <c r="E14" s="2069" t="s">
        <v>1297</v>
      </c>
      <c r="F14" s="558"/>
      <c r="G14" s="557" t="s">
        <v>1298</v>
      </c>
      <c r="H14" s="559">
        <v>-4114329.76</v>
      </c>
      <c r="I14" s="560" t="s">
        <v>55</v>
      </c>
      <c r="J14" s="561" t="str">
        <f t="shared" si="4"/>
        <v xml:space="preserve"> </v>
      </c>
      <c r="K14" s="523">
        <f t="shared" si="3"/>
        <v>-4114329.76</v>
      </c>
      <c r="L14" s="523" t="str">
        <f t="shared" si="0"/>
        <v xml:space="preserve"> </v>
      </c>
      <c r="M14" s="561" t="str">
        <f t="shared" si="1"/>
        <v xml:space="preserve"> </v>
      </c>
      <c r="N14" s="561" t="str">
        <f t="shared" si="5"/>
        <v xml:space="preserve"> </v>
      </c>
      <c r="P14" s="131"/>
      <c r="Q14" s="131"/>
      <c r="R14" s="131"/>
      <c r="S14" s="131"/>
      <c r="T14" s="131"/>
      <c r="U14" s="131"/>
      <c r="V14" s="131"/>
      <c r="W14" s="131"/>
      <c r="X14" s="131"/>
    </row>
    <row r="15" spans="1:24">
      <c r="C15" s="2068">
        <v>2821001</v>
      </c>
      <c r="D15" s="2078" t="s">
        <v>334</v>
      </c>
      <c r="E15" s="2069" t="s">
        <v>1299</v>
      </c>
      <c r="F15" s="558"/>
      <c r="G15" s="557" t="s">
        <v>1300</v>
      </c>
      <c r="H15" s="559">
        <v>8609561.1999999993</v>
      </c>
      <c r="I15" s="560" t="s">
        <v>55</v>
      </c>
      <c r="J15" s="561" t="str">
        <f t="shared" si="4"/>
        <v xml:space="preserve"> </v>
      </c>
      <c r="K15" s="523">
        <f t="shared" si="3"/>
        <v>8609561.1999999993</v>
      </c>
      <c r="L15" s="523" t="str">
        <f t="shared" si="0"/>
        <v xml:space="preserve"> </v>
      </c>
      <c r="M15" s="561" t="str">
        <f t="shared" si="1"/>
        <v xml:space="preserve"> </v>
      </c>
      <c r="N15" s="561" t="str">
        <f t="shared" si="5"/>
        <v xml:space="preserve"> </v>
      </c>
    </row>
    <row r="16" spans="1:24">
      <c r="C16" s="2068">
        <v>2821001</v>
      </c>
      <c r="D16" s="2078" t="s">
        <v>334</v>
      </c>
      <c r="E16" s="2069" t="s">
        <v>1301</v>
      </c>
      <c r="F16" s="558"/>
      <c r="G16" s="557" t="s">
        <v>1302</v>
      </c>
      <c r="H16" s="559">
        <v>1868405.05</v>
      </c>
      <c r="I16" s="560" t="s">
        <v>288</v>
      </c>
      <c r="J16" s="561">
        <f t="shared" si="4"/>
        <v>1868405.05</v>
      </c>
      <c r="K16" s="523" t="str">
        <f t="shared" si="3"/>
        <v xml:space="preserve"> </v>
      </c>
      <c r="L16" s="523" t="str">
        <f t="shared" si="0"/>
        <v xml:space="preserve"> </v>
      </c>
      <c r="M16" s="561" t="str">
        <f t="shared" si="1"/>
        <v xml:space="preserve"> </v>
      </c>
      <c r="N16" s="561" t="str">
        <f t="shared" si="5"/>
        <v xml:space="preserve"> </v>
      </c>
    </row>
    <row r="17" spans="3:17">
      <c r="C17" s="2068">
        <v>2821001</v>
      </c>
      <c r="D17" s="2078"/>
      <c r="E17" s="2069" t="s">
        <v>1303</v>
      </c>
      <c r="F17" s="558"/>
      <c r="G17" s="557" t="s">
        <v>1304</v>
      </c>
      <c r="H17" s="559">
        <v>-2370299.5299999998</v>
      </c>
      <c r="I17" s="560" t="s">
        <v>55</v>
      </c>
      <c r="J17" s="561" t="str">
        <f t="shared" si="4"/>
        <v xml:space="preserve"> </v>
      </c>
      <c r="K17" s="523">
        <f t="shared" si="3"/>
        <v>-2370299.5299999998</v>
      </c>
      <c r="L17" s="523" t="str">
        <f t="shared" si="0"/>
        <v xml:space="preserve"> </v>
      </c>
      <c r="M17" s="561" t="str">
        <f t="shared" si="1"/>
        <v xml:space="preserve"> </v>
      </c>
      <c r="N17" s="561" t="str">
        <f t="shared" si="5"/>
        <v xml:space="preserve"> </v>
      </c>
    </row>
    <row r="18" spans="3:17">
      <c r="C18" s="2068">
        <v>2821001</v>
      </c>
      <c r="D18" s="2078"/>
      <c r="E18" s="2069" t="s">
        <v>1305</v>
      </c>
      <c r="F18" s="558"/>
      <c r="G18" s="557" t="s">
        <v>1306</v>
      </c>
      <c r="H18" s="559">
        <v>-101383.59</v>
      </c>
      <c r="I18" s="560" t="s">
        <v>55</v>
      </c>
      <c r="J18" s="561" t="str">
        <f t="shared" si="4"/>
        <v xml:space="preserve"> </v>
      </c>
      <c r="K18" s="523">
        <f t="shared" si="3"/>
        <v>-101383.59</v>
      </c>
      <c r="L18" s="523" t="str">
        <f t="shared" si="0"/>
        <v xml:space="preserve"> </v>
      </c>
      <c r="M18" s="561" t="str">
        <f t="shared" si="1"/>
        <v xml:space="preserve"> </v>
      </c>
      <c r="N18" s="561" t="str">
        <f t="shared" si="5"/>
        <v xml:space="preserve"> </v>
      </c>
    </row>
    <row r="19" spans="3:17">
      <c r="C19" s="2068">
        <v>2821001</v>
      </c>
      <c r="D19" s="2078"/>
      <c r="E19" s="2069" t="s">
        <v>1307</v>
      </c>
      <c r="F19" s="558"/>
      <c r="G19" s="557" t="s">
        <v>1308</v>
      </c>
      <c r="H19" s="559">
        <v>-59022.6</v>
      </c>
      <c r="I19" s="560" t="s">
        <v>55</v>
      </c>
      <c r="J19" s="561" t="str">
        <f t="shared" si="4"/>
        <v xml:space="preserve"> </v>
      </c>
      <c r="K19" s="523">
        <f t="shared" si="3"/>
        <v>-59022.6</v>
      </c>
      <c r="L19" s="523" t="str">
        <f t="shared" si="0"/>
        <v xml:space="preserve"> </v>
      </c>
      <c r="M19" s="561" t="str">
        <f t="shared" si="1"/>
        <v xml:space="preserve"> </v>
      </c>
      <c r="N19" s="561" t="str">
        <f t="shared" si="5"/>
        <v xml:space="preserve"> </v>
      </c>
    </row>
    <row r="20" spans="3:17">
      <c r="C20" s="2068">
        <v>2821001</v>
      </c>
      <c r="D20" s="2078"/>
      <c r="E20" s="2069" t="s">
        <v>1309</v>
      </c>
      <c r="F20" s="558"/>
      <c r="G20" s="557" t="s">
        <v>1310</v>
      </c>
      <c r="H20" s="559">
        <v>-2487783.37</v>
      </c>
      <c r="I20" s="560" t="s">
        <v>297</v>
      </c>
      <c r="J20" s="561" t="str">
        <f t="shared" si="4"/>
        <v xml:space="preserve"> </v>
      </c>
      <c r="K20" s="523" t="str">
        <f t="shared" si="3"/>
        <v xml:space="preserve"> </v>
      </c>
      <c r="L20" s="523" t="str">
        <f t="shared" si="0"/>
        <v xml:space="preserve"> </v>
      </c>
      <c r="M20" s="561" t="str">
        <f t="shared" si="1"/>
        <v xml:space="preserve"> </v>
      </c>
      <c r="N20" s="561">
        <f t="shared" si="5"/>
        <v>-2487783.37</v>
      </c>
    </row>
    <row r="21" spans="3:17">
      <c r="C21" s="2068">
        <v>2821001</v>
      </c>
      <c r="D21" s="2078"/>
      <c r="E21" s="2069" t="s">
        <v>1311</v>
      </c>
      <c r="F21" s="558"/>
      <c r="G21" s="557" t="s">
        <v>1312</v>
      </c>
      <c r="H21" s="559">
        <v>759540.6</v>
      </c>
      <c r="I21" s="560" t="s">
        <v>297</v>
      </c>
      <c r="J21" s="561" t="str">
        <f t="shared" ref="J21:J23" si="6">IF(I21="e",H21," ")</f>
        <v xml:space="preserve"> </v>
      </c>
      <c r="K21" s="523" t="str">
        <f t="shared" si="3"/>
        <v xml:space="preserve"> </v>
      </c>
      <c r="L21" s="523" t="str">
        <f t="shared" si="0"/>
        <v xml:space="preserve"> </v>
      </c>
      <c r="M21" s="561" t="str">
        <f t="shared" si="1"/>
        <v xml:space="preserve"> </v>
      </c>
      <c r="N21" s="561">
        <f t="shared" ref="N21:N23" si="7">IF(I21="Labor",H21," ")</f>
        <v>759540.6</v>
      </c>
    </row>
    <row r="22" spans="3:17">
      <c r="C22" s="2068">
        <v>2821001</v>
      </c>
      <c r="D22" s="2078"/>
      <c r="E22" s="2069" t="s">
        <v>1313</v>
      </c>
      <c r="F22" s="558"/>
      <c r="G22" s="557" t="s">
        <v>1314</v>
      </c>
      <c r="H22" s="559">
        <v>-279862.08</v>
      </c>
      <c r="I22" s="560" t="s">
        <v>55</v>
      </c>
      <c r="J22" s="561" t="str">
        <f t="shared" si="6"/>
        <v xml:space="preserve"> </v>
      </c>
      <c r="K22" s="523">
        <f t="shared" si="3"/>
        <v>-279862.08</v>
      </c>
      <c r="L22" s="523" t="str">
        <f t="shared" si="0"/>
        <v xml:space="preserve"> </v>
      </c>
      <c r="M22" s="561" t="str">
        <f t="shared" si="1"/>
        <v xml:space="preserve"> </v>
      </c>
      <c r="N22" s="561" t="str">
        <f t="shared" si="7"/>
        <v xml:space="preserve"> </v>
      </c>
    </row>
    <row r="23" spans="3:17">
      <c r="C23" s="2068">
        <v>2821001</v>
      </c>
      <c r="D23" s="2078"/>
      <c r="E23" s="2069" t="s">
        <v>1315</v>
      </c>
      <c r="F23" s="558"/>
      <c r="G23" s="557" t="s">
        <v>1316</v>
      </c>
      <c r="H23" s="559">
        <v>-949085.55</v>
      </c>
      <c r="I23" s="560" t="s">
        <v>55</v>
      </c>
      <c r="J23" s="561" t="str">
        <f t="shared" si="6"/>
        <v xml:space="preserve"> </v>
      </c>
      <c r="K23" s="523">
        <f t="shared" si="3"/>
        <v>-949085.55</v>
      </c>
      <c r="L23" s="523" t="str">
        <f t="shared" si="0"/>
        <v xml:space="preserve"> </v>
      </c>
      <c r="M23" s="561" t="str">
        <f t="shared" si="1"/>
        <v xml:space="preserve"> </v>
      </c>
      <c r="N23" s="561" t="str">
        <f t="shared" si="7"/>
        <v xml:space="preserve"> </v>
      </c>
    </row>
    <row r="24" spans="3:17">
      <c r="C24" s="2068">
        <v>2821001</v>
      </c>
      <c r="D24" s="2078"/>
      <c r="E24" s="2069" t="s">
        <v>1317</v>
      </c>
      <c r="F24" s="558"/>
      <c r="G24" s="557" t="s">
        <v>1318</v>
      </c>
      <c r="H24" s="559">
        <v>-61224288</v>
      </c>
      <c r="I24" s="560" t="s">
        <v>813</v>
      </c>
      <c r="J24" s="559">
        <f>+'OKT WS C-4 Excess FIT'!E47</f>
        <v>-1066522.2199236751</v>
      </c>
      <c r="K24" s="559">
        <f>+'OKT WS C-4 Excess FIT'!E46</f>
        <v>-60157765.780076325</v>
      </c>
      <c r="L24" s="523"/>
      <c r="M24" s="561"/>
      <c r="N24" s="561"/>
      <c r="O24" s="562"/>
    </row>
    <row r="25" spans="3:17">
      <c r="C25" s="2068">
        <v>2821001</v>
      </c>
      <c r="D25" s="2078"/>
      <c r="E25" s="2069" t="s">
        <v>1317</v>
      </c>
      <c r="F25" s="558"/>
      <c r="G25" s="557" t="s">
        <v>1319</v>
      </c>
      <c r="H25" s="559">
        <v>-1.26</v>
      </c>
      <c r="I25" s="560" t="s">
        <v>813</v>
      </c>
      <c r="J25" s="559">
        <f>+'OKT WS C-4 Excess FIT'!F30</f>
        <v>-1.26</v>
      </c>
      <c r="K25" s="559">
        <f>+'OKT WS C-4 Excess FIT'!F29</f>
        <v>0</v>
      </c>
      <c r="L25" s="523"/>
      <c r="M25" s="561"/>
      <c r="N25" s="561"/>
      <c r="O25" s="562"/>
    </row>
    <row r="26" spans="3:17">
      <c r="C26" s="2068">
        <v>2821001</v>
      </c>
      <c r="D26" s="2078"/>
      <c r="E26" s="2069" t="s">
        <v>1317</v>
      </c>
      <c r="F26" s="558"/>
      <c r="G26" s="557" t="s">
        <v>1189</v>
      </c>
      <c r="H26" s="559">
        <v>39495951.972452611</v>
      </c>
      <c r="I26" s="560" t="s">
        <v>1190</v>
      </c>
      <c r="J26" s="559">
        <f>H26-K26</f>
        <v>0</v>
      </c>
      <c r="K26" s="559">
        <v>39495951.972452611</v>
      </c>
      <c r="O26"/>
      <c r="P26"/>
      <c r="Q26"/>
    </row>
    <row r="27" spans="3:17">
      <c r="C27" s="2080">
        <v>2821001</v>
      </c>
      <c r="D27" s="2081"/>
      <c r="E27" s="2069" t="s">
        <v>1317</v>
      </c>
      <c r="F27" s="558"/>
      <c r="G27" s="557" t="s">
        <v>1189</v>
      </c>
      <c r="H27" s="566">
        <f>-H26</f>
        <v>-39495951.972452611</v>
      </c>
      <c r="I27" s="564" t="s">
        <v>288</v>
      </c>
      <c r="J27" s="561">
        <f t="shared" ref="J27:J28" si="8">IF(I27="e",H27," ")</f>
        <v>-39495951.972452611</v>
      </c>
      <c r="K27" s="523" t="str">
        <f t="shared" si="3"/>
        <v xml:space="preserve"> </v>
      </c>
      <c r="O27"/>
      <c r="P27"/>
      <c r="Q27"/>
    </row>
    <row r="28" spans="3:17">
      <c r="C28" s="567"/>
      <c r="D28" s="568"/>
      <c r="E28" s="557"/>
      <c r="G28" s="567"/>
      <c r="H28" s="569"/>
      <c r="I28" s="570"/>
      <c r="J28" s="561" t="str">
        <f t="shared" si="8"/>
        <v xml:space="preserve"> </v>
      </c>
      <c r="K28" s="523" t="str">
        <f t="shared" si="3"/>
        <v xml:space="preserve"> </v>
      </c>
      <c r="L28" s="523" t="str">
        <f t="shared" si="0"/>
        <v xml:space="preserve"> </v>
      </c>
      <c r="M28" s="561" t="str">
        <f t="shared" si="1"/>
        <v xml:space="preserve"> </v>
      </c>
      <c r="N28" s="561" t="str">
        <f t="shared" ref="N28" si="9">IF(I28="Labor",H28," ")</f>
        <v xml:space="preserve"> </v>
      </c>
      <c r="O28" s="562"/>
    </row>
    <row r="29" spans="3:17">
      <c r="C29" s="553">
        <v>282.10000000000002</v>
      </c>
      <c r="D29" s="493"/>
      <c r="E29" s="571"/>
      <c r="G29" s="572" t="s">
        <v>156</v>
      </c>
      <c r="H29" s="573">
        <f>SUM(H10:H28)</f>
        <v>-178424610.39000002</v>
      </c>
      <c r="I29" s="523"/>
      <c r="J29" s="573">
        <f>SUM(J10:J28)</f>
        <v>-38695662.832376286</v>
      </c>
      <c r="K29" s="573">
        <f>SUM(K10:K28)</f>
        <v>-138000704.78762373</v>
      </c>
      <c r="L29" s="573">
        <f>SUM(L10:L28)</f>
        <v>0</v>
      </c>
      <c r="M29" s="573">
        <f>SUM(M10:M28)</f>
        <v>0</v>
      </c>
      <c r="N29" s="573">
        <f>SUM(N10:N28)</f>
        <v>-1728242.77</v>
      </c>
      <c r="O29" s="562"/>
      <c r="P29" s="523">
        <f>SUM(J29:O29)</f>
        <v>-178424610.39000002</v>
      </c>
      <c r="Q29" s="523">
        <f>P29-H29</f>
        <v>0</v>
      </c>
    </row>
    <row r="30" spans="3:17" ht="25.5">
      <c r="E30" s="571"/>
      <c r="G30" s="574" t="s">
        <v>166</v>
      </c>
      <c r="H30" s="566">
        <v>-178424610.38999999</v>
      </c>
      <c r="I30" s="500"/>
      <c r="J30" s="575"/>
      <c r="K30" s="523"/>
      <c r="L30" s="523"/>
      <c r="M30" s="523"/>
      <c r="N30" s="523"/>
    </row>
    <row r="31" spans="3:17">
      <c r="E31" s="571"/>
      <c r="H31" s="576"/>
      <c r="I31" s="523"/>
      <c r="J31" s="523"/>
      <c r="K31" s="523"/>
      <c r="L31" s="523"/>
      <c r="M31" s="523"/>
      <c r="N31" s="523"/>
    </row>
    <row r="32" spans="3:17">
      <c r="E32" s="571"/>
      <c r="H32" s="576"/>
      <c r="I32" s="523"/>
      <c r="J32" s="523"/>
      <c r="K32" s="523"/>
      <c r="L32" s="523"/>
      <c r="M32" s="523"/>
      <c r="N32" s="523"/>
    </row>
    <row r="33" spans="3:17">
      <c r="C33" s="2068">
        <v>2831001</v>
      </c>
      <c r="D33" s="2082" t="s">
        <v>334</v>
      </c>
      <c r="E33" s="2069" t="s">
        <v>1320</v>
      </c>
      <c r="F33" s="558"/>
      <c r="G33" s="557" t="s">
        <v>1321</v>
      </c>
      <c r="H33" s="559">
        <v>-0.01</v>
      </c>
      <c r="I33" s="560" t="s">
        <v>288</v>
      </c>
      <c r="J33" s="561">
        <f t="shared" ref="J33:J35" si="10">IF(I33="e",H33," ")</f>
        <v>-0.01</v>
      </c>
      <c r="K33" s="523" t="str">
        <f t="shared" ref="K33:K41" si="11">IF($I33="T",$H33," ")</f>
        <v xml:space="preserve"> </v>
      </c>
      <c r="L33" s="523" t="str">
        <f t="shared" ref="L33:L41" si="12">IF($I33="PTD",$H33," ")</f>
        <v xml:space="preserve"> </v>
      </c>
      <c r="M33" s="561" t="str">
        <f t="shared" ref="M33:M41" si="13">IF($I33="T&amp;D",$H33," ")</f>
        <v xml:space="preserve"> </v>
      </c>
      <c r="N33" s="561" t="str">
        <f t="shared" ref="N33:N35" si="14">IF(I33="Labor",H33," ")</f>
        <v xml:space="preserve"> </v>
      </c>
    </row>
    <row r="34" spans="3:17">
      <c r="C34" s="2068">
        <v>2831001</v>
      </c>
      <c r="D34" s="2082"/>
      <c r="E34" s="2069" t="s">
        <v>1322</v>
      </c>
      <c r="F34" s="558"/>
      <c r="G34" s="557" t="s">
        <v>1323</v>
      </c>
      <c r="H34" s="559">
        <v>-1344451.92</v>
      </c>
      <c r="I34" s="560" t="s">
        <v>288</v>
      </c>
      <c r="J34" s="561">
        <f t="shared" si="10"/>
        <v>-1344451.92</v>
      </c>
      <c r="K34" s="523"/>
      <c r="L34" s="523"/>
      <c r="M34" s="561"/>
      <c r="N34" s="561"/>
    </row>
    <row r="35" spans="3:17">
      <c r="C35" s="2068">
        <v>2831001</v>
      </c>
      <c r="D35" s="2082" t="s">
        <v>334</v>
      </c>
      <c r="E35" s="2069" t="s">
        <v>1324</v>
      </c>
      <c r="F35" s="558"/>
      <c r="G35" s="557" t="s">
        <v>1325</v>
      </c>
      <c r="H35" s="559">
        <v>-0.01</v>
      </c>
      <c r="I35" s="560" t="s">
        <v>288</v>
      </c>
      <c r="J35" s="561">
        <f t="shared" si="10"/>
        <v>-0.01</v>
      </c>
      <c r="K35" s="523" t="str">
        <f t="shared" si="11"/>
        <v xml:space="preserve"> </v>
      </c>
      <c r="L35" s="523" t="str">
        <f t="shared" si="12"/>
        <v xml:space="preserve"> </v>
      </c>
      <c r="M35" s="561" t="str">
        <f t="shared" si="13"/>
        <v xml:space="preserve"> </v>
      </c>
      <c r="N35" s="561" t="str">
        <f t="shared" si="14"/>
        <v xml:space="preserve"> </v>
      </c>
    </row>
    <row r="36" spans="3:17">
      <c r="C36" s="2068">
        <v>2831001</v>
      </c>
      <c r="D36" s="2082"/>
      <c r="E36" s="2069" t="s">
        <v>1326</v>
      </c>
      <c r="F36" s="558"/>
      <c r="G36" s="557" t="s">
        <v>1327</v>
      </c>
      <c r="H36" s="559">
        <v>1762022.79</v>
      </c>
      <c r="I36" s="560" t="s">
        <v>288</v>
      </c>
      <c r="J36" s="561">
        <f t="shared" ref="J36" si="15">IF(I36="e",H36," ")</f>
        <v>1762022.79</v>
      </c>
      <c r="K36" s="523" t="str">
        <f t="shared" si="11"/>
        <v xml:space="preserve"> </v>
      </c>
      <c r="L36" s="523" t="str">
        <f t="shared" si="12"/>
        <v xml:space="preserve"> </v>
      </c>
      <c r="M36" s="561" t="str">
        <f t="shared" si="13"/>
        <v xml:space="preserve"> </v>
      </c>
      <c r="N36" s="561" t="str">
        <f t="shared" ref="N36" si="16">IF(I36="Labor",H36," ")</f>
        <v xml:space="preserve"> </v>
      </c>
    </row>
    <row r="37" spans="3:17">
      <c r="C37" s="2070">
        <v>2831001</v>
      </c>
      <c r="D37" s="157"/>
      <c r="E37" s="2069" t="s">
        <v>1317</v>
      </c>
      <c r="F37" s="558"/>
      <c r="G37" s="557" t="s">
        <v>1328</v>
      </c>
      <c r="H37" s="559">
        <v>0.12</v>
      </c>
      <c r="I37" s="560" t="s">
        <v>813</v>
      </c>
      <c r="J37" s="559">
        <f>+'OKT WS C-4 Excess FIT'!G30</f>
        <v>0.12</v>
      </c>
      <c r="K37" s="559">
        <f>+'OKT WS C-4 Excess FIT'!G29</f>
        <v>0</v>
      </c>
      <c r="L37" s="523" t="str">
        <f t="shared" si="12"/>
        <v xml:space="preserve"> </v>
      </c>
      <c r="M37" s="561" t="str">
        <f t="shared" si="13"/>
        <v xml:space="preserve"> </v>
      </c>
      <c r="N37" s="561" t="str">
        <f t="shared" ref="N37:N41" si="17">IF(I37="Labor",H37," ")</f>
        <v xml:space="preserve"> </v>
      </c>
    </row>
    <row r="38" spans="3:17">
      <c r="C38" s="2070"/>
      <c r="D38" s="157"/>
      <c r="E38" s="2069"/>
      <c r="F38" s="131"/>
      <c r="G38" s="557"/>
      <c r="H38" s="559"/>
      <c r="I38" s="560"/>
      <c r="J38" s="580"/>
      <c r="K38" s="580"/>
      <c r="L38" s="523"/>
      <c r="M38" s="561"/>
      <c r="N38" s="561"/>
    </row>
    <row r="39" spans="3:17">
      <c r="C39" s="2075"/>
      <c r="D39" s="2076"/>
      <c r="E39" s="2077"/>
      <c r="F39" s="137"/>
      <c r="G39" s="558"/>
      <c r="H39" s="580"/>
      <c r="I39" s="581"/>
      <c r="J39" s="561"/>
      <c r="K39" s="523"/>
      <c r="L39" s="523"/>
      <c r="M39" s="561"/>
      <c r="N39" s="561"/>
    </row>
    <row r="40" spans="3:17">
      <c r="C40" s="2069">
        <v>2831002</v>
      </c>
      <c r="D40" s="2083" t="s">
        <v>334</v>
      </c>
      <c r="E40" s="2069" t="s">
        <v>1329</v>
      </c>
      <c r="F40" s="558"/>
      <c r="G40" s="557" t="s">
        <v>1330</v>
      </c>
      <c r="H40" s="559">
        <v>-25119555.239999998</v>
      </c>
      <c r="I40" s="560" t="s">
        <v>55</v>
      </c>
      <c r="J40" s="561" t="str">
        <f t="shared" ref="J40:J41" si="18">IF(I40="e",H40," ")</f>
        <v xml:space="preserve"> </v>
      </c>
      <c r="K40" s="523">
        <f t="shared" si="11"/>
        <v>-25119555.239999998</v>
      </c>
      <c r="L40" s="523" t="str">
        <f t="shared" si="12"/>
        <v xml:space="preserve"> </v>
      </c>
      <c r="M40" s="561" t="str">
        <f t="shared" si="13"/>
        <v xml:space="preserve"> </v>
      </c>
      <c r="N40" s="561" t="str">
        <f t="shared" si="17"/>
        <v xml:space="preserve"> </v>
      </c>
    </row>
    <row r="41" spans="3:17">
      <c r="C41" s="2069">
        <v>2831002</v>
      </c>
      <c r="D41" s="2081" t="s">
        <v>334</v>
      </c>
      <c r="E41" s="2069" t="s">
        <v>1326</v>
      </c>
      <c r="F41" s="558"/>
      <c r="G41" s="557" t="s">
        <v>1327</v>
      </c>
      <c r="H41" s="559">
        <v>-8390585</v>
      </c>
      <c r="I41" s="560" t="s">
        <v>288</v>
      </c>
      <c r="J41" s="561">
        <f t="shared" si="18"/>
        <v>-8390585</v>
      </c>
      <c r="K41" s="523" t="str">
        <f t="shared" si="11"/>
        <v xml:space="preserve"> </v>
      </c>
      <c r="L41" s="523" t="str">
        <f t="shared" si="12"/>
        <v xml:space="preserve"> </v>
      </c>
      <c r="M41" s="561" t="str">
        <f t="shared" si="13"/>
        <v xml:space="preserve"> </v>
      </c>
      <c r="N41" s="561" t="str">
        <f t="shared" si="17"/>
        <v xml:space="preserve"> </v>
      </c>
    </row>
    <row r="42" spans="3:17">
      <c r="C42" s="565"/>
      <c r="D42" s="563"/>
      <c r="E42" s="565"/>
      <c r="G42" s="557"/>
      <c r="H42" s="559"/>
      <c r="I42" s="560"/>
      <c r="J42" s="580"/>
      <c r="K42" s="580"/>
      <c r="L42" s="580"/>
      <c r="M42" s="580"/>
      <c r="N42" s="580"/>
    </row>
    <row r="43" spans="3:17">
      <c r="D43" s="493"/>
      <c r="E43" s="571"/>
      <c r="H43" s="523"/>
      <c r="I43" s="523"/>
      <c r="J43" s="576" t="str">
        <f>IF(I43="e",H43," ")</f>
        <v xml:space="preserve"> </v>
      </c>
      <c r="K43" s="576"/>
      <c r="L43" s="576" t="str">
        <f>IF($I43="PTD",$H43," ")</f>
        <v xml:space="preserve"> </v>
      </c>
      <c r="M43" s="576" t="str">
        <f>IF($I43="T&amp;D",$H43," ")</f>
        <v xml:space="preserve"> </v>
      </c>
      <c r="N43" s="576" t="str">
        <f>IF(I43="Labor",H43," ")</f>
        <v xml:space="preserve"> </v>
      </c>
    </row>
    <row r="44" spans="3:17">
      <c r="C44" s="553">
        <v>283.10000000000002</v>
      </c>
      <c r="D44" s="493"/>
      <c r="E44" s="571"/>
      <c r="G44" s="572" t="s">
        <v>156</v>
      </c>
      <c r="H44" s="582">
        <f>SUM(H33:H43)</f>
        <v>-33092569.27</v>
      </c>
      <c r="I44" s="523"/>
      <c r="J44" s="582">
        <f>SUM(J33:J43)</f>
        <v>-7973014.0300000003</v>
      </c>
      <c r="K44" s="582">
        <f>SUM(K33:K43)</f>
        <v>-25119555.239999998</v>
      </c>
      <c r="L44" s="582">
        <f>SUM(L33:L43)</f>
        <v>0</v>
      </c>
      <c r="M44" s="582">
        <f>SUM(M33:M43)</f>
        <v>0</v>
      </c>
      <c r="N44" s="582">
        <f>SUM(N33:N43)</f>
        <v>0</v>
      </c>
      <c r="O44" s="562"/>
      <c r="P44" s="523">
        <f>SUM(J44:O44)</f>
        <v>-33092569.27</v>
      </c>
      <c r="Q44" s="523">
        <f>P44-H44</f>
        <v>0</v>
      </c>
    </row>
    <row r="45" spans="3:17" ht="25.5" customHeight="1">
      <c r="C45" s="583"/>
      <c r="D45" s="493"/>
      <c r="E45" s="571"/>
      <c r="G45" s="574" t="s">
        <v>110</v>
      </c>
      <c r="H45" s="1923">
        <v>-33092569.27</v>
      </c>
      <c r="I45" s="500"/>
      <c r="J45" s="575"/>
      <c r="K45" s="584"/>
      <c r="L45" s="584"/>
      <c r="M45" s="584"/>
      <c r="N45" s="584"/>
    </row>
    <row r="46" spans="3:17">
      <c r="E46" s="571"/>
      <c r="G46" s="585"/>
      <c r="H46" s="576"/>
      <c r="I46" s="523"/>
      <c r="J46" s="523"/>
      <c r="K46" s="523"/>
      <c r="L46" s="523"/>
      <c r="M46" s="523"/>
      <c r="N46" s="523"/>
    </row>
    <row r="47" spans="3:17">
      <c r="E47" s="571"/>
      <c r="H47" s="576"/>
      <c r="I47" s="523"/>
      <c r="J47" s="523"/>
      <c r="K47" s="523"/>
      <c r="L47" s="523"/>
      <c r="M47" s="523"/>
      <c r="N47" s="523"/>
    </row>
    <row r="48" spans="3:17">
      <c r="C48" s="2068">
        <v>1901001</v>
      </c>
      <c r="D48" s="2084" t="s">
        <v>334</v>
      </c>
      <c r="E48" s="2069" t="s">
        <v>1331</v>
      </c>
      <c r="F48" s="558"/>
      <c r="G48" s="557" t="s">
        <v>1332</v>
      </c>
      <c r="H48" s="559">
        <v>42202.239999999998</v>
      </c>
      <c r="I48" s="560" t="s">
        <v>288</v>
      </c>
      <c r="J48" s="561">
        <f t="shared" ref="J48:J62" si="19">IF(I48="e",H48," ")</f>
        <v>42202.239999999998</v>
      </c>
      <c r="K48" s="523" t="str">
        <f t="shared" ref="K48:K62" si="20">IF($I48="T",$H48," ")</f>
        <v xml:space="preserve"> </v>
      </c>
      <c r="L48" s="523" t="str">
        <f t="shared" ref="L48:L62" si="21">IF($I48="PTD",$H48," ")</f>
        <v xml:space="preserve"> </v>
      </c>
      <c r="M48" s="561" t="str">
        <f t="shared" ref="M48:M62" si="22">IF($I48="T&amp;D",$H48," ")</f>
        <v xml:space="preserve"> </v>
      </c>
      <c r="N48" s="561" t="str">
        <f t="shared" ref="N48:N62" si="23">IF(I48="Labor",H48," ")</f>
        <v xml:space="preserve"> </v>
      </c>
    </row>
    <row r="49" spans="3:17">
      <c r="C49" s="2068">
        <v>1901001</v>
      </c>
      <c r="D49" s="2084" t="s">
        <v>334</v>
      </c>
      <c r="E49" s="2069" t="s">
        <v>1333</v>
      </c>
      <c r="F49" s="558"/>
      <c r="G49" s="557" t="s">
        <v>1334</v>
      </c>
      <c r="H49" s="559">
        <v>612</v>
      </c>
      <c r="I49" s="560" t="s">
        <v>288</v>
      </c>
      <c r="J49" s="561">
        <f t="shared" ref="J49:J56" si="24">IF(I49="e",H49," ")</f>
        <v>612</v>
      </c>
      <c r="K49" s="523" t="str">
        <f t="shared" si="20"/>
        <v xml:space="preserve"> </v>
      </c>
      <c r="L49" s="523" t="str">
        <f t="shared" si="21"/>
        <v xml:space="preserve"> </v>
      </c>
      <c r="M49" s="561" t="str">
        <f t="shared" si="22"/>
        <v xml:space="preserve"> </v>
      </c>
      <c r="N49" s="561" t="str">
        <f t="shared" ref="N49:N56" si="25">IF(I49="Labor",H49," ")</f>
        <v xml:space="preserve"> </v>
      </c>
    </row>
    <row r="50" spans="3:17">
      <c r="C50" s="2068">
        <v>1901001</v>
      </c>
      <c r="D50" s="2084"/>
      <c r="E50" s="2069" t="s">
        <v>1335</v>
      </c>
      <c r="F50" s="558"/>
      <c r="G50" s="557" t="s">
        <v>1336</v>
      </c>
      <c r="H50" s="559">
        <v>2140089.17</v>
      </c>
      <c r="I50" s="560" t="s">
        <v>288</v>
      </c>
      <c r="J50" s="561">
        <f t="shared" si="24"/>
        <v>2140089.17</v>
      </c>
      <c r="K50" s="523"/>
      <c r="L50" s="523" t="str">
        <f t="shared" si="21"/>
        <v xml:space="preserve"> </v>
      </c>
      <c r="M50" s="561" t="str">
        <f t="shared" si="22"/>
        <v xml:space="preserve"> </v>
      </c>
      <c r="N50" s="561" t="str">
        <f t="shared" si="25"/>
        <v xml:space="preserve"> </v>
      </c>
    </row>
    <row r="51" spans="3:17">
      <c r="C51" s="2068">
        <v>1901001</v>
      </c>
      <c r="D51" s="2084"/>
      <c r="E51" s="2069" t="s">
        <v>1337</v>
      </c>
      <c r="F51" s="558"/>
      <c r="G51" s="557" t="s">
        <v>1338</v>
      </c>
      <c r="H51" s="559">
        <v>-0.21</v>
      </c>
      <c r="I51" s="560" t="s">
        <v>288</v>
      </c>
      <c r="J51" s="561">
        <f t="shared" si="24"/>
        <v>-0.21</v>
      </c>
      <c r="K51" s="523" t="str">
        <f t="shared" si="20"/>
        <v xml:space="preserve"> </v>
      </c>
      <c r="L51" s="523" t="str">
        <f t="shared" si="21"/>
        <v xml:space="preserve"> </v>
      </c>
      <c r="M51" s="561" t="str">
        <f t="shared" si="22"/>
        <v xml:space="preserve"> </v>
      </c>
      <c r="N51" s="561" t="str">
        <f t="shared" si="25"/>
        <v xml:space="preserve"> </v>
      </c>
    </row>
    <row r="52" spans="3:17">
      <c r="C52" s="2068">
        <v>1901001</v>
      </c>
      <c r="D52" s="2084"/>
      <c r="E52" s="2069" t="s">
        <v>1339</v>
      </c>
      <c r="F52" s="558"/>
      <c r="G52" s="557" t="s">
        <v>1340</v>
      </c>
      <c r="H52" s="559">
        <v>-25162.85</v>
      </c>
      <c r="I52" s="560" t="s">
        <v>297</v>
      </c>
      <c r="J52" s="561"/>
      <c r="K52" s="523"/>
      <c r="L52" s="523"/>
      <c r="M52" s="561"/>
      <c r="N52" s="561">
        <f t="shared" si="25"/>
        <v>-25162.85</v>
      </c>
    </row>
    <row r="53" spans="3:17">
      <c r="C53" s="2068">
        <v>1901001</v>
      </c>
      <c r="D53" s="2084"/>
      <c r="E53" s="2069" t="s">
        <v>1287</v>
      </c>
      <c r="F53" s="558"/>
      <c r="G53" s="557" t="s">
        <v>1288</v>
      </c>
      <c r="H53" s="559">
        <v>0</v>
      </c>
      <c r="I53" s="560" t="s">
        <v>288</v>
      </c>
      <c r="J53" s="561">
        <f t="shared" si="24"/>
        <v>0</v>
      </c>
      <c r="K53" s="523"/>
      <c r="L53" s="523"/>
      <c r="M53" s="561"/>
      <c r="N53" s="561"/>
    </row>
    <row r="54" spans="3:17">
      <c r="C54" s="2068">
        <v>1901001</v>
      </c>
      <c r="D54" s="2084" t="s">
        <v>334</v>
      </c>
      <c r="E54" s="2069" t="s">
        <v>1341</v>
      </c>
      <c r="F54" s="558"/>
      <c r="G54" s="557" t="s">
        <v>1342</v>
      </c>
      <c r="H54" s="559">
        <v>0.04</v>
      </c>
      <c r="I54" s="560" t="s">
        <v>288</v>
      </c>
      <c r="J54" s="561">
        <f t="shared" si="24"/>
        <v>0.04</v>
      </c>
      <c r="K54" s="523" t="str">
        <f t="shared" si="20"/>
        <v xml:space="preserve"> </v>
      </c>
      <c r="L54" s="523" t="str">
        <f t="shared" si="21"/>
        <v xml:space="preserve"> </v>
      </c>
      <c r="M54" s="561" t="str">
        <f t="shared" si="22"/>
        <v xml:space="preserve"> </v>
      </c>
      <c r="N54" s="561" t="str">
        <f t="shared" si="25"/>
        <v xml:space="preserve"> </v>
      </c>
    </row>
    <row r="55" spans="3:17">
      <c r="C55" s="2068">
        <v>1901001</v>
      </c>
      <c r="D55" s="2084"/>
      <c r="E55" s="2069" t="s">
        <v>1343</v>
      </c>
      <c r="F55" s="558"/>
      <c r="G55" s="557" t="s">
        <v>1344</v>
      </c>
      <c r="H55" s="559">
        <v>290700.88</v>
      </c>
      <c r="I55" s="560" t="s">
        <v>55</v>
      </c>
      <c r="J55" s="561" t="str">
        <f t="shared" si="24"/>
        <v xml:space="preserve"> </v>
      </c>
      <c r="K55" s="523">
        <f t="shared" si="20"/>
        <v>290700.88</v>
      </c>
      <c r="L55" s="523"/>
      <c r="M55" s="561"/>
      <c r="N55" s="561"/>
    </row>
    <row r="56" spans="3:17">
      <c r="C56" s="2068">
        <v>1901001</v>
      </c>
      <c r="D56" s="2084" t="s">
        <v>334</v>
      </c>
      <c r="E56" s="2069" t="s">
        <v>1329</v>
      </c>
      <c r="F56" s="558"/>
      <c r="G56" s="557" t="s">
        <v>1330</v>
      </c>
      <c r="H56" s="559">
        <v>5275106.5999999996</v>
      </c>
      <c r="I56" s="560" t="s">
        <v>55</v>
      </c>
      <c r="J56" s="561" t="str">
        <f t="shared" si="24"/>
        <v xml:space="preserve"> </v>
      </c>
      <c r="K56" s="523">
        <f t="shared" si="20"/>
        <v>5275106.5999999996</v>
      </c>
      <c r="L56" s="523" t="str">
        <f t="shared" si="21"/>
        <v xml:space="preserve"> </v>
      </c>
      <c r="M56" s="561" t="str">
        <f t="shared" si="22"/>
        <v xml:space="preserve"> </v>
      </c>
      <c r="N56" s="561" t="str">
        <f t="shared" si="25"/>
        <v xml:space="preserve"> </v>
      </c>
    </row>
    <row r="57" spans="3:17">
      <c r="C57" s="2068">
        <v>1901001</v>
      </c>
      <c r="D57" s="2084"/>
      <c r="E57" s="2069" t="s">
        <v>1354</v>
      </c>
      <c r="F57" s="558"/>
      <c r="G57" s="557" t="s">
        <v>1189</v>
      </c>
      <c r="H57" s="559">
        <v>24334023.05790519</v>
      </c>
      <c r="I57" s="560" t="s">
        <v>155</v>
      </c>
      <c r="J57" s="561" t="str">
        <f t="shared" ref="J57" si="26">IF(I57="e",H57," ")</f>
        <v xml:space="preserve"> </v>
      </c>
      <c r="K57" s="523" t="str">
        <f t="shared" si="20"/>
        <v xml:space="preserve"> </v>
      </c>
      <c r="L57" s="559">
        <f t="shared" si="21"/>
        <v>24334023.05790519</v>
      </c>
      <c r="M57" s="561" t="str">
        <f t="shared" si="22"/>
        <v xml:space="preserve"> </v>
      </c>
      <c r="N57" s="561" t="str">
        <f t="shared" ref="N57" si="27">IF(I57="Labor",H57," ")</f>
        <v xml:space="preserve"> </v>
      </c>
      <c r="O57"/>
      <c r="P57"/>
    </row>
    <row r="58" spans="3:17">
      <c r="C58" s="2068">
        <v>1901001</v>
      </c>
      <c r="D58" s="2084"/>
      <c r="E58" s="2069" t="s">
        <v>1354</v>
      </c>
      <c r="F58" s="558"/>
      <c r="G58" s="557" t="s">
        <v>1189</v>
      </c>
      <c r="H58" s="559">
        <f>-H57</f>
        <v>-24334023.05790519</v>
      </c>
      <c r="I58" s="560" t="s">
        <v>288</v>
      </c>
      <c r="J58" s="559">
        <f t="shared" ref="J58" si="28">IF(I58="e",H58," ")</f>
        <v>-24334023.05790519</v>
      </c>
      <c r="K58" s="523" t="str">
        <f t="shared" si="20"/>
        <v xml:space="preserve"> </v>
      </c>
      <c r="L58" s="2160"/>
      <c r="M58"/>
      <c r="N58"/>
      <c r="O58"/>
      <c r="P58"/>
    </row>
    <row r="59" spans="3:17">
      <c r="C59" s="2070"/>
      <c r="D59" s="2084"/>
      <c r="E59" s="2069"/>
      <c r="F59" s="558"/>
      <c r="G59" s="557"/>
      <c r="H59" s="559"/>
      <c r="I59" s="560"/>
      <c r="J59" s="561"/>
      <c r="K59" s="523"/>
      <c r="L59"/>
      <c r="M59"/>
      <c r="N59"/>
      <c r="O59"/>
      <c r="P59"/>
    </row>
    <row r="60" spans="3:17">
      <c r="C60" s="150"/>
      <c r="D60" s="150"/>
      <c r="E60" s="2077"/>
      <c r="F60" s="558"/>
      <c r="G60" s="558"/>
      <c r="H60" s="580"/>
      <c r="I60" s="586"/>
      <c r="J60" s="561" t="str">
        <f t="shared" si="19"/>
        <v xml:space="preserve"> </v>
      </c>
      <c r="K60" s="523" t="str">
        <f t="shared" si="20"/>
        <v xml:space="preserve"> </v>
      </c>
      <c r="L60" s="523" t="str">
        <f t="shared" si="21"/>
        <v xml:space="preserve"> </v>
      </c>
      <c r="M60" s="561" t="str">
        <f t="shared" si="22"/>
        <v xml:space="preserve"> </v>
      </c>
      <c r="N60" s="561" t="str">
        <f t="shared" si="23"/>
        <v xml:space="preserve"> </v>
      </c>
    </row>
    <row r="61" spans="3:17">
      <c r="C61" s="2070">
        <v>1901002</v>
      </c>
      <c r="D61" s="2084"/>
      <c r="E61" s="2069" t="s">
        <v>1322</v>
      </c>
      <c r="F61" s="558"/>
      <c r="G61" s="557" t="s">
        <v>1323</v>
      </c>
      <c r="H61" s="559">
        <v>6402152.0199999996</v>
      </c>
      <c r="I61" s="560" t="s">
        <v>288</v>
      </c>
      <c r="J61" s="561">
        <f t="shared" si="19"/>
        <v>6402152.0199999996</v>
      </c>
      <c r="K61" s="523" t="str">
        <f t="shared" si="20"/>
        <v xml:space="preserve"> </v>
      </c>
      <c r="L61" s="523" t="str">
        <f t="shared" si="21"/>
        <v xml:space="preserve"> </v>
      </c>
      <c r="M61" s="561" t="str">
        <f t="shared" si="22"/>
        <v xml:space="preserve"> </v>
      </c>
      <c r="N61" s="561" t="str">
        <f t="shared" si="23"/>
        <v xml:space="preserve"> </v>
      </c>
    </row>
    <row r="62" spans="3:17">
      <c r="C62" s="565"/>
      <c r="D62" s="563"/>
      <c r="E62" s="565"/>
      <c r="F62" s="556"/>
      <c r="G62" s="565"/>
      <c r="H62" s="566"/>
      <c r="I62" s="564"/>
      <c r="J62" s="561" t="str">
        <f t="shared" si="19"/>
        <v xml:space="preserve"> </v>
      </c>
      <c r="K62" s="523" t="str">
        <f t="shared" si="20"/>
        <v xml:space="preserve"> </v>
      </c>
      <c r="L62" s="523" t="str">
        <f t="shared" si="21"/>
        <v xml:space="preserve"> </v>
      </c>
      <c r="M62" s="561" t="str">
        <f t="shared" si="22"/>
        <v xml:space="preserve"> </v>
      </c>
      <c r="N62" s="561" t="str">
        <f t="shared" si="23"/>
        <v xml:space="preserve"> </v>
      </c>
    </row>
    <row r="63" spans="3:17">
      <c r="C63" s="587"/>
      <c r="J63" s="585"/>
    </row>
    <row r="64" spans="3:17">
      <c r="C64" s="553">
        <v>190.1</v>
      </c>
      <c r="D64" s="493"/>
      <c r="G64" s="572" t="s">
        <v>156</v>
      </c>
      <c r="H64" s="582">
        <f>SUM(H48:H63)</f>
        <v>14125699.889999997</v>
      </c>
      <c r="I64" s="523"/>
      <c r="J64" s="582">
        <f>SUM(J48:J63)</f>
        <v>-15748967.797905188</v>
      </c>
      <c r="K64" s="582">
        <f>SUM(K48:K63)</f>
        <v>5565807.4799999995</v>
      </c>
      <c r="L64" s="582">
        <f>SUM(L48:L63)</f>
        <v>24334023.05790519</v>
      </c>
      <c r="M64" s="582">
        <f>SUM(M48:M63)</f>
        <v>0</v>
      </c>
      <c r="N64" s="582">
        <f>SUM(N48:N63)</f>
        <v>-25162.85</v>
      </c>
      <c r="O64" s="562"/>
      <c r="P64" s="523">
        <f>SUM(J64:O64)</f>
        <v>14125699.890000002</v>
      </c>
      <c r="Q64" s="523">
        <f>P64-H64</f>
        <v>0</v>
      </c>
    </row>
    <row r="65" spans="3:14">
      <c r="G65" s="574" t="s">
        <v>126</v>
      </c>
      <c r="H65" s="566">
        <v>14125699.890000001</v>
      </c>
      <c r="I65" s="500"/>
      <c r="J65" s="575"/>
    </row>
    <row r="66" spans="3:14">
      <c r="G66" s="574"/>
      <c r="H66" s="588"/>
    </row>
    <row r="67" spans="3:14" ht="33" customHeight="1">
      <c r="C67" s="2201"/>
      <c r="D67" s="2201"/>
      <c r="E67" s="2201"/>
      <c r="F67" s="2201"/>
      <c r="G67" s="2201"/>
      <c r="H67" s="2201"/>
      <c r="I67" s="2201"/>
      <c r="J67" s="2201"/>
      <c r="K67" s="2201"/>
      <c r="L67" s="2201"/>
      <c r="M67" s="2201"/>
      <c r="N67" s="2201"/>
    </row>
    <row r="80" spans="3:14">
      <c r="C80" s="589"/>
      <c r="D80" s="568"/>
      <c r="E80" s="589"/>
      <c r="G80" s="589"/>
      <c r="H80" s="590"/>
    </row>
    <row r="116" spans="3:6">
      <c r="C116" s="589"/>
      <c r="D116" s="589"/>
      <c r="E116" s="589"/>
      <c r="F116" s="548"/>
    </row>
    <row r="117" spans="3:6">
      <c r="C117" s="589"/>
      <c r="D117" s="589"/>
      <c r="E117" s="589"/>
    </row>
    <row r="118" spans="3:6">
      <c r="C118" s="589"/>
      <c r="D118" s="589"/>
      <c r="E118" s="589"/>
    </row>
    <row r="119" spans="3:6">
      <c r="C119" s="589"/>
      <c r="D119" s="589"/>
      <c r="E119" s="589"/>
    </row>
    <row r="120" spans="3:6">
      <c r="C120" s="589"/>
      <c r="D120" s="589"/>
      <c r="E120" s="589"/>
    </row>
    <row r="121" spans="3:6">
      <c r="C121" s="589"/>
      <c r="D121" s="589"/>
      <c r="E121" s="589"/>
    </row>
    <row r="122" spans="3:6">
      <c r="C122" s="589"/>
      <c r="D122" s="589"/>
      <c r="E122" s="589"/>
    </row>
    <row r="123" spans="3:6">
      <c r="C123" s="589"/>
      <c r="D123" s="589"/>
      <c r="E123" s="589"/>
    </row>
    <row r="124" spans="3:6">
      <c r="C124" s="589"/>
      <c r="D124" s="589"/>
      <c r="E124" s="589"/>
    </row>
    <row r="125" spans="3:6">
      <c r="C125" s="589"/>
      <c r="D125" s="589"/>
      <c r="E125" s="589"/>
    </row>
    <row r="126" spans="3:6">
      <c r="C126" s="589"/>
      <c r="D126" s="589"/>
      <c r="E126" s="589"/>
    </row>
    <row r="127" spans="3:6">
      <c r="C127" s="589"/>
      <c r="D127" s="589"/>
      <c r="E127" s="589"/>
    </row>
    <row r="128" spans="3:6">
      <c r="C128" s="589"/>
      <c r="D128" s="589"/>
      <c r="E128" s="589"/>
    </row>
    <row r="129" spans="3:5">
      <c r="C129" s="589"/>
      <c r="D129" s="589"/>
      <c r="E129" s="589"/>
    </row>
    <row r="130" spans="3:5">
      <c r="C130" s="589"/>
      <c r="D130" s="589"/>
      <c r="E130" s="589"/>
    </row>
    <row r="131" spans="3:5">
      <c r="C131" s="589"/>
      <c r="D131" s="589"/>
      <c r="E131" s="589"/>
    </row>
    <row r="132" spans="3:5">
      <c r="C132" s="589"/>
      <c r="D132" s="589"/>
      <c r="E132" s="589"/>
    </row>
    <row r="133" spans="3:5">
      <c r="C133" s="589"/>
      <c r="D133" s="589"/>
      <c r="E133" s="589"/>
    </row>
    <row r="134" spans="3:5">
      <c r="C134" s="589"/>
      <c r="D134" s="589"/>
      <c r="E134" s="589"/>
    </row>
    <row r="135" spans="3:5">
      <c r="D135" s="493"/>
    </row>
    <row r="136" spans="3:5">
      <c r="D136" s="493"/>
    </row>
    <row r="137" spans="3:5">
      <c r="D137" s="493"/>
    </row>
    <row r="138" spans="3:5">
      <c r="D138" s="493"/>
    </row>
    <row r="139" spans="3:5">
      <c r="D139" s="493"/>
    </row>
    <row r="140" spans="3:5">
      <c r="D140" s="493"/>
    </row>
    <row r="141" spans="3:5">
      <c r="D141" s="493"/>
    </row>
    <row r="142" spans="3:5">
      <c r="D142" s="493"/>
    </row>
    <row r="143" spans="3:5">
      <c r="D143" s="493"/>
    </row>
    <row r="144" spans="3:5">
      <c r="D144" s="493"/>
    </row>
    <row r="145" spans="3:7">
      <c r="D145" s="493"/>
    </row>
    <row r="146" spans="3:7">
      <c r="D146" s="493"/>
    </row>
    <row r="147" spans="3:7">
      <c r="D147" s="493"/>
    </row>
    <row r="148" spans="3:7">
      <c r="D148" s="493"/>
    </row>
    <row r="149" spans="3:7">
      <c r="D149" s="493"/>
    </row>
    <row r="150" spans="3:7">
      <c r="D150" s="493"/>
    </row>
    <row r="151" spans="3:7">
      <c r="D151" s="493"/>
    </row>
    <row r="152" spans="3:7">
      <c r="C152" s="589"/>
      <c r="D152" s="568"/>
      <c r="E152" s="589"/>
      <c r="F152" s="589"/>
      <c r="G152" s="589"/>
    </row>
    <row r="153" spans="3:7">
      <c r="C153" s="589"/>
      <c r="D153" s="568"/>
      <c r="E153" s="589"/>
      <c r="F153" s="589"/>
      <c r="G153" s="589"/>
    </row>
    <row r="154" spans="3:7">
      <c r="C154" s="589"/>
      <c r="D154" s="568"/>
      <c r="E154" s="589"/>
      <c r="F154" s="589"/>
      <c r="G154" s="589"/>
    </row>
    <row r="155" spans="3:7">
      <c r="C155" s="589"/>
      <c r="D155" s="568"/>
      <c r="E155" s="589"/>
      <c r="F155" s="589"/>
      <c r="G155" s="589"/>
    </row>
    <row r="156" spans="3:7">
      <c r="C156" s="589"/>
      <c r="D156" s="568"/>
      <c r="E156" s="589"/>
      <c r="F156" s="589"/>
      <c r="G156" s="589"/>
    </row>
    <row r="157" spans="3:7">
      <c r="C157" s="589"/>
      <c r="D157" s="568"/>
      <c r="E157" s="589"/>
      <c r="F157" s="589"/>
      <c r="G157" s="589"/>
    </row>
  </sheetData>
  <mergeCells count="6">
    <mergeCell ref="C3:N3"/>
    <mergeCell ref="C67:N67"/>
    <mergeCell ref="J8:N8"/>
    <mergeCell ref="C4:N4"/>
    <mergeCell ref="C5:N5"/>
    <mergeCell ref="C6:N6"/>
  </mergeCells>
  <phoneticPr fontId="79" type="noConversion"/>
  <conditionalFormatting sqref="O64 O44 O24:O25 O28">
    <cfRule type="cellIs" dxfId="12" priority="2" stopIfTrue="1" operator="equal">
      <formula>FALSE</formula>
    </cfRule>
  </conditionalFormatting>
  <conditionalFormatting sqref="O29">
    <cfRule type="cellIs" dxfId="11" priority="1" stopIfTrue="1" operator="equal">
      <formula>FALSE</formula>
    </cfRule>
  </conditionalFormatting>
  <pageMargins left="0.5" right="0.5" top="1" bottom="0.5" header="0.5" footer="0.5"/>
  <pageSetup scale="45" fitToHeight="0" orientation="portrait" r:id="rId1"/>
  <headerFooter alignWithMargins="0">
    <oddHeader>&amp;R&amp;18AEP - SPP Transco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X160"/>
  <sheetViews>
    <sheetView topLeftCell="A34" zoomScale="81" zoomScaleNormal="81" zoomScaleSheetLayoutView="75" zoomScalePageLayoutView="75" workbookViewId="0">
      <selection activeCell="H53" sqref="H53"/>
    </sheetView>
  </sheetViews>
  <sheetFormatPr defaultColWidth="8.7109375" defaultRowHeight="12.75"/>
  <cols>
    <col min="1" max="2" width="1.7109375" style="493" customWidth="1"/>
    <col min="3" max="3" width="10.7109375" style="493" customWidth="1"/>
    <col min="4" max="4" width="1.7109375" style="548" customWidth="1"/>
    <col min="5" max="5" width="11.28515625" style="493" customWidth="1"/>
    <col min="6" max="6" width="1.7109375" style="493" customWidth="1"/>
    <col min="7" max="7" width="53.28515625" style="493" customWidth="1"/>
    <col min="8" max="8" width="18.7109375" style="549" customWidth="1"/>
    <col min="9" max="9" width="11.7109375" style="493" customWidth="1"/>
    <col min="10" max="10" width="16.7109375" style="493" customWidth="1"/>
    <col min="11" max="11" width="16.28515625" style="493" customWidth="1"/>
    <col min="12" max="12" width="18.7109375" style="493" customWidth="1"/>
    <col min="13" max="13" width="13.28515625" style="493" customWidth="1"/>
    <col min="14" max="14" width="17.28515625" style="493" customWidth="1"/>
    <col min="15" max="15" width="8.7109375" style="493"/>
    <col min="16" max="16" width="13.140625" style="493" bestFit="1" customWidth="1"/>
    <col min="17" max="17" width="8.7109375" style="493"/>
    <col min="18" max="18" width="13.28515625" style="493" bestFit="1" customWidth="1"/>
    <col min="19" max="16384" width="8.7109375" style="493"/>
  </cols>
  <sheetData>
    <row r="1" spans="1:24" ht="15">
      <c r="A1" s="547"/>
    </row>
    <row r="2" spans="1:24" ht="20.25">
      <c r="A2" s="550"/>
      <c r="B2" s="551"/>
      <c r="D2" s="493"/>
      <c r="I2" s="500"/>
      <c r="J2" s="500"/>
      <c r="K2" s="500"/>
      <c r="L2" s="500"/>
      <c r="M2" s="500"/>
      <c r="N2" s="504" t="s">
        <v>251</v>
      </c>
      <c r="O2" s="501"/>
    </row>
    <row r="3" spans="1:24" ht="20.25">
      <c r="A3" s="504"/>
      <c r="B3" s="503"/>
      <c r="C3" s="2200" t="str">
        <f>+'OKT TCOS'!F4</f>
        <v xml:space="preserve">AEP West SPP Member Transmission Companies </v>
      </c>
      <c r="D3" s="2200"/>
      <c r="E3" s="2200"/>
      <c r="F3" s="2200"/>
      <c r="G3" s="2200"/>
      <c r="H3" s="2200"/>
      <c r="I3" s="2200"/>
      <c r="J3" s="2200"/>
      <c r="K3" s="2200"/>
      <c r="L3" s="2200"/>
      <c r="M3" s="2200"/>
      <c r="N3" s="2200"/>
      <c r="O3" s="501"/>
    </row>
    <row r="4" spans="1:24" ht="18">
      <c r="C4" s="2198" t="str">
        <f>+'OKT TCOS'!F8</f>
        <v>AEP OKLAHOMA TRANSMISSION COMPANY, INC.</v>
      </c>
      <c r="D4" s="2198"/>
      <c r="E4" s="2198"/>
      <c r="F4" s="2198"/>
      <c r="G4" s="2198"/>
      <c r="H4" s="2198"/>
      <c r="I4" s="2198"/>
      <c r="J4" s="2198"/>
      <c r="K4" s="2198"/>
      <c r="L4" s="2198"/>
      <c r="M4" s="2198"/>
      <c r="N4" s="2198"/>
      <c r="O4" s="501"/>
    </row>
    <row r="5" spans="1:24" ht="18">
      <c r="C5" s="2198" t="s">
        <v>626</v>
      </c>
      <c r="D5" s="2198"/>
      <c r="E5" s="2198"/>
      <c r="F5" s="2198"/>
      <c r="G5" s="2198"/>
      <c r="H5" s="2198"/>
      <c r="I5" s="2198"/>
      <c r="J5" s="2198"/>
      <c r="K5" s="2198"/>
      <c r="L5" s="2198"/>
      <c r="M5" s="2198"/>
      <c r="N5" s="2198"/>
    </row>
    <row r="6" spans="1:24" ht="23.25" customHeight="1">
      <c r="C6" s="2204" t="str">
        <f>"AS OF DECEMBER 31, "&amp;'OKT TCOS'!N2-1&amp;""</f>
        <v>AS OF DECEMBER 31, 2021</v>
      </c>
      <c r="D6" s="2204"/>
      <c r="E6" s="2204"/>
      <c r="F6" s="2204"/>
      <c r="G6" s="2204"/>
      <c r="H6" s="2204"/>
      <c r="I6" s="2204"/>
      <c r="J6" s="2204"/>
      <c r="K6" s="2204"/>
      <c r="L6" s="2204"/>
      <c r="M6" s="2204"/>
      <c r="N6" s="2204"/>
    </row>
    <row r="7" spans="1:24">
      <c r="D7" s="493"/>
    </row>
    <row r="8" spans="1:24">
      <c r="D8" s="493"/>
      <c r="J8" s="2202" t="s">
        <v>149</v>
      </c>
      <c r="K8" s="2202"/>
      <c r="L8" s="2202"/>
      <c r="M8" s="2202"/>
      <c r="N8" s="2202"/>
    </row>
    <row r="9" spans="1:24" ht="25.5">
      <c r="C9" s="552" t="s">
        <v>387</v>
      </c>
      <c r="D9" s="553"/>
      <c r="E9" s="552" t="s">
        <v>150</v>
      </c>
      <c r="G9" s="552" t="s">
        <v>303</v>
      </c>
      <c r="H9" s="554" t="s">
        <v>313</v>
      </c>
      <c r="I9" s="555" t="s">
        <v>84</v>
      </c>
      <c r="J9" s="555" t="s">
        <v>151</v>
      </c>
      <c r="K9" s="555" t="s">
        <v>152</v>
      </c>
      <c r="L9" s="552" t="s">
        <v>153</v>
      </c>
      <c r="M9" s="552" t="s">
        <v>154</v>
      </c>
      <c r="N9" s="552" t="s">
        <v>297</v>
      </c>
    </row>
    <row r="10" spans="1:24">
      <c r="C10" s="2068">
        <v>2821001</v>
      </c>
      <c r="D10" s="2078" t="s">
        <v>334</v>
      </c>
      <c r="E10" s="2069" t="s">
        <v>1289</v>
      </c>
      <c r="F10" s="558"/>
      <c r="G10" s="557" t="s">
        <v>1290</v>
      </c>
      <c r="H10" s="559">
        <v>-111257528.20999999</v>
      </c>
      <c r="I10" s="560" t="s">
        <v>55</v>
      </c>
      <c r="J10" s="1926"/>
      <c r="K10" s="523">
        <f>IF($I10="T",$H10," ")-J10</f>
        <v>-111257528.20999999</v>
      </c>
      <c r="L10" s="523" t="str">
        <f t="shared" ref="L10:L28" si="0">IF($I10="PTD",$H10," ")</f>
        <v xml:space="preserve"> </v>
      </c>
      <c r="M10" s="561" t="str">
        <f t="shared" ref="M10:M28" si="1">IF($I10="T&amp;D",$H10," ")</f>
        <v xml:space="preserve"> </v>
      </c>
      <c r="N10" s="561" t="str">
        <f t="shared" ref="N10" si="2">IF(I10="Labor",H10," ")</f>
        <v xml:space="preserve"> </v>
      </c>
      <c r="P10" s="131"/>
      <c r="Q10" s="131"/>
      <c r="R10" s="131"/>
      <c r="S10" s="131"/>
      <c r="T10" s="131"/>
      <c r="U10" s="131"/>
      <c r="V10" s="131"/>
      <c r="W10" s="131"/>
      <c r="X10" s="131"/>
    </row>
    <row r="11" spans="1:24">
      <c r="C11" s="2068">
        <v>2821001</v>
      </c>
      <c r="D11" s="2078"/>
      <c r="E11" s="2069" t="s">
        <v>1291</v>
      </c>
      <c r="F11" s="558"/>
      <c r="G11" s="557" t="s">
        <v>1292</v>
      </c>
      <c r="H11" s="559">
        <v>-1633672.76</v>
      </c>
      <c r="I11" s="560" t="s">
        <v>55</v>
      </c>
      <c r="J11" s="561"/>
      <c r="K11" s="523">
        <f t="shared" ref="K11:K28" si="3">IF($I11="T",$H11," ")</f>
        <v>-1633672.76</v>
      </c>
      <c r="L11" s="523"/>
      <c r="M11" s="561"/>
      <c r="N11" s="561"/>
      <c r="P11" s="131"/>
      <c r="Q11" s="131"/>
      <c r="R11" s="131"/>
      <c r="S11" s="131"/>
      <c r="T11" s="131"/>
      <c r="U11" s="131"/>
      <c r="V11" s="131"/>
      <c r="W11" s="131"/>
      <c r="X11" s="131"/>
    </row>
    <row r="12" spans="1:24">
      <c r="C12" s="2068">
        <v>2821001</v>
      </c>
      <c r="D12" s="2078" t="s">
        <v>334</v>
      </c>
      <c r="E12" s="2069" t="s">
        <v>1293</v>
      </c>
      <c r="F12" s="558"/>
      <c r="G12" s="557" t="s">
        <v>1294</v>
      </c>
      <c r="H12" s="559">
        <v>-1592.43</v>
      </c>
      <c r="I12" s="560" t="s">
        <v>288</v>
      </c>
      <c r="J12" s="561">
        <f t="shared" ref="J12:J23" si="4">IF(I12="e",H12," ")</f>
        <v>-1592.43</v>
      </c>
      <c r="K12" s="523" t="str">
        <f t="shared" si="3"/>
        <v xml:space="preserve"> </v>
      </c>
      <c r="L12" s="523" t="str">
        <f t="shared" si="0"/>
        <v xml:space="preserve"> </v>
      </c>
      <c r="M12" s="561" t="str">
        <f t="shared" si="1"/>
        <v xml:space="preserve"> </v>
      </c>
      <c r="N12" s="561" t="str">
        <f t="shared" ref="N12:N23" si="5">IF(I12="Labor",H12," ")</f>
        <v xml:space="preserve"> </v>
      </c>
      <c r="P12" s="131"/>
      <c r="Q12" s="131"/>
      <c r="R12" s="131"/>
      <c r="S12" s="131"/>
      <c r="T12" s="131"/>
      <c r="U12" s="131"/>
      <c r="V12" s="131"/>
      <c r="W12" s="131"/>
      <c r="X12" s="131"/>
    </row>
    <row r="13" spans="1:24">
      <c r="C13" s="2068">
        <v>2821001</v>
      </c>
      <c r="D13" s="2078" t="s">
        <v>334</v>
      </c>
      <c r="E13" s="2069" t="s">
        <v>1295</v>
      </c>
      <c r="F13" s="558"/>
      <c r="G13" s="557" t="s">
        <v>1296</v>
      </c>
      <c r="H13" s="559">
        <v>-61868.1</v>
      </c>
      <c r="I13" s="560" t="s">
        <v>55</v>
      </c>
      <c r="J13" s="561" t="str">
        <f t="shared" si="4"/>
        <v xml:space="preserve"> </v>
      </c>
      <c r="K13" s="523">
        <f t="shared" si="3"/>
        <v>-61868.1</v>
      </c>
      <c r="L13" s="523" t="str">
        <f t="shared" si="0"/>
        <v xml:space="preserve"> </v>
      </c>
      <c r="M13" s="561" t="str">
        <f t="shared" si="1"/>
        <v xml:space="preserve"> </v>
      </c>
      <c r="N13" s="561" t="str">
        <f t="shared" si="5"/>
        <v xml:space="preserve"> </v>
      </c>
      <c r="P13" s="131"/>
      <c r="Q13" s="131"/>
      <c r="R13" s="131"/>
      <c r="S13" s="131"/>
      <c r="T13" s="131"/>
      <c r="U13" s="131"/>
      <c r="V13" s="131"/>
      <c r="W13" s="131"/>
      <c r="X13" s="131"/>
    </row>
    <row r="14" spans="1:24">
      <c r="C14" s="2068">
        <v>2821001</v>
      </c>
      <c r="D14" s="2078" t="s">
        <v>334</v>
      </c>
      <c r="E14" s="2069" t="s">
        <v>1297</v>
      </c>
      <c r="F14" s="558"/>
      <c r="G14" s="557" t="s">
        <v>1298</v>
      </c>
      <c r="H14" s="559">
        <v>-3699581.17</v>
      </c>
      <c r="I14" s="560" t="s">
        <v>55</v>
      </c>
      <c r="J14" s="561" t="str">
        <f t="shared" si="4"/>
        <v xml:space="preserve"> </v>
      </c>
      <c r="K14" s="523">
        <f t="shared" si="3"/>
        <v>-3699581.17</v>
      </c>
      <c r="L14" s="523" t="str">
        <f t="shared" si="0"/>
        <v xml:space="preserve"> </v>
      </c>
      <c r="M14" s="561" t="str">
        <f t="shared" si="1"/>
        <v xml:space="preserve"> </v>
      </c>
      <c r="N14" s="561" t="str">
        <f t="shared" si="5"/>
        <v xml:space="preserve"> </v>
      </c>
    </row>
    <row r="15" spans="1:24">
      <c r="C15" s="2068">
        <v>2821001</v>
      </c>
      <c r="D15" s="2078" t="s">
        <v>334</v>
      </c>
      <c r="E15" s="2069" t="s">
        <v>1299</v>
      </c>
      <c r="F15" s="558"/>
      <c r="G15" s="557" t="s">
        <v>1300</v>
      </c>
      <c r="H15" s="559">
        <v>7634882.1500000004</v>
      </c>
      <c r="I15" s="560" t="s">
        <v>55</v>
      </c>
      <c r="J15" s="561" t="str">
        <f t="shared" si="4"/>
        <v xml:space="preserve"> </v>
      </c>
      <c r="K15" s="523">
        <f t="shared" si="3"/>
        <v>7634882.1500000004</v>
      </c>
      <c r="L15" s="523" t="str">
        <f t="shared" si="0"/>
        <v xml:space="preserve"> </v>
      </c>
      <c r="M15" s="561" t="str">
        <f t="shared" si="1"/>
        <v xml:space="preserve"> </v>
      </c>
      <c r="N15" s="561" t="str">
        <f t="shared" si="5"/>
        <v xml:space="preserve"> </v>
      </c>
    </row>
    <row r="16" spans="1:24">
      <c r="C16" s="2068">
        <v>2821001</v>
      </c>
      <c r="D16" s="2078"/>
      <c r="E16" s="2069" t="s">
        <v>1301</v>
      </c>
      <c r="F16" s="558"/>
      <c r="G16" s="557" t="s">
        <v>1302</v>
      </c>
      <c r="H16" s="559">
        <v>1755091.99</v>
      </c>
      <c r="I16" s="560" t="s">
        <v>288</v>
      </c>
      <c r="J16" s="561">
        <f t="shared" si="4"/>
        <v>1755091.99</v>
      </c>
      <c r="K16" s="523" t="str">
        <f t="shared" si="3"/>
        <v xml:space="preserve"> </v>
      </c>
      <c r="L16" s="523" t="str">
        <f t="shared" si="0"/>
        <v xml:space="preserve"> </v>
      </c>
      <c r="M16" s="561" t="str">
        <f t="shared" si="1"/>
        <v xml:space="preserve"> </v>
      </c>
      <c r="N16" s="561" t="str">
        <f t="shared" si="5"/>
        <v xml:space="preserve"> </v>
      </c>
    </row>
    <row r="17" spans="3:16">
      <c r="C17" s="2068">
        <v>2821001</v>
      </c>
      <c r="D17" s="2078"/>
      <c r="E17" s="2069" t="s">
        <v>1303</v>
      </c>
      <c r="F17" s="558"/>
      <c r="G17" s="557" t="s">
        <v>1304</v>
      </c>
      <c r="H17" s="559">
        <v>-2374583.9500000002</v>
      </c>
      <c r="I17" s="560" t="s">
        <v>55</v>
      </c>
      <c r="J17" s="561" t="str">
        <f t="shared" si="4"/>
        <v xml:space="preserve"> </v>
      </c>
      <c r="K17" s="523">
        <f t="shared" si="3"/>
        <v>-2374583.9500000002</v>
      </c>
      <c r="L17" s="523" t="str">
        <f t="shared" si="0"/>
        <v xml:space="preserve"> </v>
      </c>
      <c r="M17" s="561" t="str">
        <f t="shared" si="1"/>
        <v xml:space="preserve"> </v>
      </c>
      <c r="N17" s="561" t="str">
        <f t="shared" si="5"/>
        <v xml:space="preserve"> </v>
      </c>
    </row>
    <row r="18" spans="3:16">
      <c r="C18" s="2068">
        <v>2821001</v>
      </c>
      <c r="D18" s="2078"/>
      <c r="E18" s="2069" t="s">
        <v>1305</v>
      </c>
      <c r="F18" s="558"/>
      <c r="G18" s="557" t="s">
        <v>1306</v>
      </c>
      <c r="H18" s="559">
        <v>-101383.59</v>
      </c>
      <c r="I18" s="560" t="s">
        <v>55</v>
      </c>
      <c r="J18" s="561" t="str">
        <f t="shared" si="4"/>
        <v xml:space="preserve"> </v>
      </c>
      <c r="K18" s="523">
        <f t="shared" si="3"/>
        <v>-101383.59</v>
      </c>
      <c r="L18" s="523" t="str">
        <f t="shared" si="0"/>
        <v xml:space="preserve"> </v>
      </c>
      <c r="M18" s="561" t="str">
        <f t="shared" si="1"/>
        <v xml:space="preserve"> </v>
      </c>
      <c r="N18" s="561" t="str">
        <f t="shared" si="5"/>
        <v xml:space="preserve"> </v>
      </c>
    </row>
    <row r="19" spans="3:16">
      <c r="C19" s="2068">
        <v>2821001</v>
      </c>
      <c r="D19" s="2078"/>
      <c r="E19" s="2069" t="s">
        <v>1307</v>
      </c>
      <c r="F19" s="558"/>
      <c r="G19" s="557" t="s">
        <v>1308</v>
      </c>
      <c r="H19" s="559">
        <v>-59022.6</v>
      </c>
      <c r="I19" s="560" t="s">
        <v>55</v>
      </c>
      <c r="J19" s="561" t="str">
        <f t="shared" si="4"/>
        <v xml:space="preserve"> </v>
      </c>
      <c r="K19" s="523">
        <f t="shared" si="3"/>
        <v>-59022.6</v>
      </c>
      <c r="L19" s="523" t="str">
        <f t="shared" si="0"/>
        <v xml:space="preserve"> </v>
      </c>
      <c r="M19" s="561" t="str">
        <f t="shared" si="1"/>
        <v xml:space="preserve"> </v>
      </c>
      <c r="N19" s="561" t="str">
        <f t="shared" si="5"/>
        <v xml:space="preserve"> </v>
      </c>
    </row>
    <row r="20" spans="3:16">
      <c r="C20" s="2068">
        <v>2821001</v>
      </c>
      <c r="D20" s="2078"/>
      <c r="E20" s="2069" t="s">
        <v>1309</v>
      </c>
      <c r="F20" s="558"/>
      <c r="G20" s="557" t="s">
        <v>1310</v>
      </c>
      <c r="H20" s="559">
        <v>-2860076.62</v>
      </c>
      <c r="I20" s="560" t="s">
        <v>297</v>
      </c>
      <c r="J20" s="561" t="str">
        <f t="shared" si="4"/>
        <v xml:space="preserve"> </v>
      </c>
      <c r="K20" s="523" t="str">
        <f t="shared" si="3"/>
        <v xml:space="preserve"> </v>
      </c>
      <c r="L20" s="523" t="str">
        <f t="shared" si="0"/>
        <v xml:space="preserve"> </v>
      </c>
      <c r="M20" s="561" t="str">
        <f t="shared" si="1"/>
        <v xml:space="preserve"> </v>
      </c>
      <c r="N20" s="561">
        <f t="shared" si="5"/>
        <v>-2860076.62</v>
      </c>
    </row>
    <row r="21" spans="3:16">
      <c r="C21" s="2068">
        <v>2821001</v>
      </c>
      <c r="D21" s="2078"/>
      <c r="E21" s="2069" t="s">
        <v>1311</v>
      </c>
      <c r="F21" s="558"/>
      <c r="G21" s="557" t="s">
        <v>1312</v>
      </c>
      <c r="H21" s="559">
        <v>506360.4</v>
      </c>
      <c r="I21" s="560" t="s">
        <v>297</v>
      </c>
      <c r="J21" s="561" t="str">
        <f t="shared" ref="J21" si="6">IF(I21="e",H21," ")</f>
        <v xml:space="preserve"> </v>
      </c>
      <c r="K21" s="523" t="str">
        <f t="shared" si="3"/>
        <v xml:space="preserve"> </v>
      </c>
      <c r="L21" s="523" t="str">
        <f t="shared" si="0"/>
        <v xml:space="preserve"> </v>
      </c>
      <c r="M21" s="561" t="str">
        <f t="shared" si="1"/>
        <v xml:space="preserve"> </v>
      </c>
      <c r="N21" s="561">
        <f t="shared" ref="N21" si="7">IF(I21="Labor",H21," ")</f>
        <v>506360.4</v>
      </c>
    </row>
    <row r="22" spans="3:16">
      <c r="C22" s="2068">
        <v>2821001</v>
      </c>
      <c r="D22" s="2078"/>
      <c r="E22" s="2079" t="s">
        <v>1313</v>
      </c>
      <c r="F22" s="558"/>
      <c r="G22" s="557" t="s">
        <v>1314</v>
      </c>
      <c r="H22" s="559">
        <v>-184722.75</v>
      </c>
      <c r="I22" s="560" t="s">
        <v>55</v>
      </c>
      <c r="J22" s="561" t="str">
        <f t="shared" si="4"/>
        <v xml:space="preserve"> </v>
      </c>
      <c r="K22" s="523">
        <f t="shared" si="3"/>
        <v>-184722.75</v>
      </c>
      <c r="L22" s="523"/>
      <c r="M22" s="561"/>
      <c r="N22" s="561"/>
    </row>
    <row r="23" spans="3:16">
      <c r="C23" s="2068">
        <v>2821001</v>
      </c>
      <c r="D23" s="2078"/>
      <c r="E23" s="2069" t="s">
        <v>1315</v>
      </c>
      <c r="F23" s="558"/>
      <c r="G23" s="557" t="s">
        <v>1316</v>
      </c>
      <c r="H23" s="559">
        <v>-691264.98</v>
      </c>
      <c r="I23" s="560" t="s">
        <v>55</v>
      </c>
      <c r="J23" s="561" t="str">
        <f t="shared" si="4"/>
        <v xml:space="preserve"> </v>
      </c>
      <c r="K23" s="523">
        <f t="shared" si="3"/>
        <v>-691264.98</v>
      </c>
      <c r="L23" s="523" t="str">
        <f t="shared" si="0"/>
        <v xml:space="preserve"> </v>
      </c>
      <c r="M23" s="561" t="str">
        <f t="shared" si="1"/>
        <v xml:space="preserve"> </v>
      </c>
      <c r="N23" s="561" t="str">
        <f t="shared" si="5"/>
        <v xml:space="preserve"> </v>
      </c>
    </row>
    <row r="24" spans="3:16">
      <c r="C24" s="2068">
        <v>2821001</v>
      </c>
      <c r="D24" s="2078"/>
      <c r="E24" s="2069" t="s">
        <v>1317</v>
      </c>
      <c r="F24" s="558"/>
      <c r="G24" s="557" t="s">
        <v>1318</v>
      </c>
      <c r="H24" s="559">
        <v>-61928466</v>
      </c>
      <c r="I24" s="560" t="s">
        <v>813</v>
      </c>
      <c r="J24" s="559">
        <f>+'OKT WS C-4 Excess FIT'!E47</f>
        <v>-1066522.2199236751</v>
      </c>
      <c r="K24" s="559">
        <f>+'OKT WS C-4 Excess FIT'!E46</f>
        <v>-60157765.780076325</v>
      </c>
      <c r="L24" s="523"/>
      <c r="M24" s="561"/>
      <c r="N24" s="561"/>
      <c r="O24" s="562"/>
    </row>
    <row r="25" spans="3:16">
      <c r="C25" s="2068">
        <v>2821001</v>
      </c>
      <c r="D25" s="2078"/>
      <c r="E25" s="2069" t="s">
        <v>1317</v>
      </c>
      <c r="F25" s="558"/>
      <c r="G25" s="557" t="s">
        <v>1319</v>
      </c>
      <c r="H25" s="559">
        <v>-422976.26</v>
      </c>
      <c r="I25" s="560" t="s">
        <v>813</v>
      </c>
      <c r="J25" s="559">
        <f>+'OKT WS C-4 Excess FIT'!F30</f>
        <v>-1.26</v>
      </c>
      <c r="K25" s="559">
        <f>+'OKT WS C-4 Excess FIT'!F29</f>
        <v>0</v>
      </c>
      <c r="L25" s="523"/>
      <c r="M25" s="561"/>
      <c r="N25" s="561"/>
      <c r="O25" s="562"/>
    </row>
    <row r="26" spans="3:16">
      <c r="C26" s="2068">
        <v>2821001</v>
      </c>
      <c r="D26" s="2078"/>
      <c r="E26" s="2069" t="s">
        <v>1317</v>
      </c>
      <c r="F26" s="558"/>
      <c r="G26" s="557" t="s">
        <v>1189</v>
      </c>
      <c r="H26" s="559">
        <v>39271691.535204455</v>
      </c>
      <c r="I26" s="560" t="s">
        <v>1190</v>
      </c>
      <c r="J26" s="559">
        <f>H26-K26</f>
        <v>0</v>
      </c>
      <c r="K26" s="559">
        <v>39271691.535204455</v>
      </c>
      <c r="L26" s="523"/>
      <c r="M26" s="561"/>
      <c r="N26" s="561"/>
      <c r="O26" s="562"/>
    </row>
    <row r="27" spans="3:16">
      <c r="C27" s="2080">
        <v>2821001</v>
      </c>
      <c r="D27" s="2081"/>
      <c r="E27" s="2069" t="s">
        <v>1317</v>
      </c>
      <c r="F27" s="558"/>
      <c r="G27" s="557" t="s">
        <v>1189</v>
      </c>
      <c r="H27" s="559">
        <f>-H26</f>
        <v>-39271691.535204455</v>
      </c>
      <c r="I27" s="564" t="s">
        <v>288</v>
      </c>
      <c r="J27" s="561">
        <f t="shared" ref="J27" si="8">IF(I27="e",H27," ")</f>
        <v>-39271691.535204455</v>
      </c>
      <c r="K27" s="523" t="str">
        <f t="shared" ref="K27" si="9">IF($I27="T",$H27," ")</f>
        <v xml:space="preserve"> </v>
      </c>
      <c r="L27" s="523" t="str">
        <f t="shared" ref="L27" si="10">IF($I27="PTD",$H27," ")</f>
        <v xml:space="preserve"> </v>
      </c>
      <c r="M27" s="561" t="str">
        <f t="shared" ref="M27" si="11">IF($I27="T&amp;D",$H27," ")</f>
        <v xml:space="preserve"> </v>
      </c>
      <c r="N27" s="561" t="str">
        <f t="shared" ref="N27" si="12">IF(I27="Labor",H27," ")</f>
        <v xml:space="preserve"> </v>
      </c>
      <c r="O27" s="562"/>
    </row>
    <row r="28" spans="3:16">
      <c r="C28" s="567"/>
      <c r="D28" s="568"/>
      <c r="E28" s="557"/>
      <c r="G28" s="567"/>
      <c r="H28" s="569"/>
      <c r="I28" s="570"/>
      <c r="J28" s="561" t="str">
        <f t="shared" ref="J28" si="13">IF(I28="e",H28," ")</f>
        <v xml:space="preserve"> </v>
      </c>
      <c r="K28" s="523" t="str">
        <f t="shared" si="3"/>
        <v xml:space="preserve"> </v>
      </c>
      <c r="L28" s="523" t="str">
        <f t="shared" si="0"/>
        <v xml:space="preserve"> </v>
      </c>
      <c r="M28" s="561" t="str">
        <f t="shared" si="1"/>
        <v xml:space="preserve"> </v>
      </c>
      <c r="N28" s="561" t="str">
        <f t="shared" ref="N28" si="14">IF(I28="Labor",H28," ")</f>
        <v xml:space="preserve"> </v>
      </c>
      <c r="O28" s="562"/>
    </row>
    <row r="29" spans="3:16">
      <c r="C29" s="553">
        <v>282.10000000000002</v>
      </c>
      <c r="D29" s="493"/>
      <c r="E29" s="571"/>
      <c r="G29" s="572" t="s">
        <v>156</v>
      </c>
      <c r="H29" s="573">
        <f>SUM(H10:H28)</f>
        <v>-175380404.88</v>
      </c>
      <c r="I29" s="523"/>
      <c r="J29" s="573">
        <f>SUM(J10:J28)</f>
        <v>-38584715.455128133</v>
      </c>
      <c r="K29" s="573">
        <f>SUM(K10:K28)</f>
        <v>-133314820.20487185</v>
      </c>
      <c r="L29" s="573">
        <f>SUM(L10:L28)</f>
        <v>0</v>
      </c>
      <c r="M29" s="573">
        <f>SUM(M10:M28)</f>
        <v>0</v>
      </c>
      <c r="N29" s="573">
        <f>SUM(N10:N28)</f>
        <v>-2353716.2200000002</v>
      </c>
      <c r="O29" s="562"/>
      <c r="P29" s="523">
        <f>SUM(J29:O29)</f>
        <v>-174253251.87999997</v>
      </c>
    </row>
    <row r="30" spans="3:16" ht="25.5">
      <c r="E30" s="571"/>
      <c r="G30" s="574" t="s">
        <v>166</v>
      </c>
      <c r="H30" s="566">
        <v>-175380405</v>
      </c>
      <c r="I30"/>
      <c r="J30" s="575"/>
      <c r="K30" s="523"/>
      <c r="L30" s="523"/>
      <c r="M30" s="523"/>
      <c r="N30" s="523"/>
    </row>
    <row r="31" spans="3:16">
      <c r="E31" s="571"/>
      <c r="H31" s="576"/>
      <c r="I31" s="523"/>
      <c r="J31" s="523"/>
      <c r="K31" s="523"/>
      <c r="L31" s="523"/>
      <c r="M31" s="523"/>
      <c r="N31" s="523"/>
    </row>
    <row r="32" spans="3:16">
      <c r="E32" s="571"/>
      <c r="H32" s="576"/>
      <c r="I32" s="523"/>
      <c r="J32" s="523"/>
      <c r="K32" s="523"/>
      <c r="L32" s="523"/>
      <c r="M32" s="523"/>
      <c r="N32" s="523"/>
    </row>
    <row r="33" spans="3:16">
      <c r="C33" s="2068">
        <v>2831001</v>
      </c>
      <c r="D33" s="2082" t="s">
        <v>334</v>
      </c>
      <c r="E33" s="2069" t="s">
        <v>1320</v>
      </c>
      <c r="F33" s="558"/>
      <c r="G33" s="557" t="s">
        <v>1321</v>
      </c>
      <c r="H33" s="559">
        <v>-0.01</v>
      </c>
      <c r="I33" s="560" t="s">
        <v>288</v>
      </c>
      <c r="J33" s="561">
        <f t="shared" ref="J33:J35" si="15">IF(I33="e",H33," ")</f>
        <v>-0.01</v>
      </c>
      <c r="K33" s="523" t="str">
        <f t="shared" ref="K33:K41" si="16">IF($I33="T",$H33," ")</f>
        <v xml:space="preserve"> </v>
      </c>
      <c r="L33" s="523" t="str">
        <f t="shared" ref="L33:L41" si="17">IF($I33="PTD",$H33," ")</f>
        <v xml:space="preserve"> </v>
      </c>
      <c r="M33" s="561" t="str">
        <f t="shared" ref="M33:M41" si="18">IF($I33="T&amp;D",$H33," ")</f>
        <v xml:space="preserve"> </v>
      </c>
      <c r="N33" s="561" t="str">
        <f t="shared" ref="N33:N40" si="19">IF(I33="Labor",H33," ")</f>
        <v xml:space="preserve"> </v>
      </c>
    </row>
    <row r="34" spans="3:16">
      <c r="C34" s="2068">
        <v>2831001</v>
      </c>
      <c r="D34" s="2082"/>
      <c r="E34" s="2069" t="s">
        <v>1322</v>
      </c>
      <c r="F34" s="558"/>
      <c r="G34" s="557" t="s">
        <v>1323</v>
      </c>
      <c r="H34" s="559">
        <v>-1961037.58</v>
      </c>
      <c r="I34" s="560" t="s">
        <v>288</v>
      </c>
      <c r="J34" s="561">
        <f t="shared" si="15"/>
        <v>-1961037.58</v>
      </c>
      <c r="K34" s="523"/>
      <c r="L34" s="523"/>
      <c r="M34" s="561"/>
      <c r="N34" s="561"/>
    </row>
    <row r="35" spans="3:16">
      <c r="C35" s="2068">
        <v>2831001</v>
      </c>
      <c r="D35" s="2082" t="s">
        <v>334</v>
      </c>
      <c r="E35" s="2069" t="s">
        <v>1324</v>
      </c>
      <c r="F35" s="558"/>
      <c r="G35" s="557" t="s">
        <v>1325</v>
      </c>
      <c r="H35" s="559">
        <v>-0.01</v>
      </c>
      <c r="I35" s="560" t="s">
        <v>288</v>
      </c>
      <c r="J35" s="561">
        <f t="shared" si="15"/>
        <v>-0.01</v>
      </c>
      <c r="K35" s="523" t="str">
        <f t="shared" si="16"/>
        <v xml:space="preserve"> </v>
      </c>
      <c r="L35" s="523" t="str">
        <f t="shared" si="17"/>
        <v xml:space="preserve"> </v>
      </c>
      <c r="M35" s="561" t="str">
        <f t="shared" si="18"/>
        <v xml:space="preserve"> </v>
      </c>
      <c r="N35" s="561" t="str">
        <f t="shared" si="19"/>
        <v xml:space="preserve"> </v>
      </c>
    </row>
    <row r="36" spans="3:16">
      <c r="C36" s="2068">
        <v>2831001</v>
      </c>
      <c r="D36" s="2082"/>
      <c r="E36" s="2069" t="s">
        <v>1326</v>
      </c>
      <c r="F36" s="558"/>
      <c r="G36" s="557" t="s">
        <v>1327</v>
      </c>
      <c r="H36" s="559">
        <v>1762022.79</v>
      </c>
      <c r="I36" s="560" t="s">
        <v>288</v>
      </c>
      <c r="J36" s="561">
        <f t="shared" ref="J36" si="20">IF(I36="e",H36," ")</f>
        <v>1762022.79</v>
      </c>
      <c r="K36" s="523" t="str">
        <f t="shared" si="16"/>
        <v xml:space="preserve"> </v>
      </c>
      <c r="L36" s="523" t="str">
        <f t="shared" si="17"/>
        <v xml:space="preserve"> </v>
      </c>
      <c r="M36" s="561" t="str">
        <f t="shared" si="18"/>
        <v xml:space="preserve"> </v>
      </c>
      <c r="N36" s="561" t="str">
        <f t="shared" ref="N36" si="21">IF(I36="Labor",H36," ")</f>
        <v xml:space="preserve"> </v>
      </c>
    </row>
    <row r="37" spans="3:16">
      <c r="C37" s="2070">
        <v>2831001</v>
      </c>
      <c r="D37" s="157"/>
      <c r="E37" s="2069" t="s">
        <v>1317</v>
      </c>
      <c r="F37" s="131"/>
      <c r="G37" s="557" t="s">
        <v>1328</v>
      </c>
      <c r="H37" s="559">
        <v>2114232.12</v>
      </c>
      <c r="I37" s="560" t="s">
        <v>813</v>
      </c>
      <c r="J37" s="559">
        <f>+'OKT WS C-4 Excess FIT'!G30</f>
        <v>0.12</v>
      </c>
      <c r="K37" s="559">
        <f>+'OKT WS C-4 Excess FIT'!G29</f>
        <v>0</v>
      </c>
      <c r="L37" s="523" t="str">
        <f t="shared" si="17"/>
        <v xml:space="preserve"> </v>
      </c>
      <c r="M37" s="561" t="str">
        <f t="shared" si="18"/>
        <v xml:space="preserve"> </v>
      </c>
      <c r="N37" s="561" t="str">
        <f t="shared" si="19"/>
        <v xml:space="preserve"> </v>
      </c>
    </row>
    <row r="38" spans="3:16">
      <c r="C38" s="2070"/>
      <c r="D38" s="157"/>
      <c r="E38" s="2069"/>
      <c r="F38" s="131"/>
      <c r="G38" s="557"/>
      <c r="H38" s="559"/>
      <c r="I38" s="560"/>
      <c r="J38" s="580"/>
      <c r="K38" s="580"/>
      <c r="L38" s="523"/>
      <c r="M38" s="561"/>
      <c r="N38" s="561"/>
    </row>
    <row r="39" spans="3:16">
      <c r="C39" s="2075"/>
      <c r="D39" s="2076"/>
      <c r="E39" s="2077"/>
      <c r="F39" s="137"/>
      <c r="G39" s="558"/>
      <c r="H39" s="580"/>
      <c r="I39" s="581"/>
      <c r="J39" s="561"/>
      <c r="K39" s="523"/>
      <c r="L39" s="523"/>
      <c r="M39" s="561"/>
      <c r="N39" s="561"/>
    </row>
    <row r="40" spans="3:16">
      <c r="C40" s="2069">
        <v>2831002</v>
      </c>
      <c r="D40" s="2083" t="s">
        <v>334</v>
      </c>
      <c r="E40" s="2069" t="s">
        <v>1329</v>
      </c>
      <c r="F40" s="558"/>
      <c r="G40" s="557" t="s">
        <v>1330</v>
      </c>
      <c r="H40" s="559">
        <v>-24356816.239999998</v>
      </c>
      <c r="I40" s="560" t="s">
        <v>55</v>
      </c>
      <c r="J40" s="561" t="str">
        <f t="shared" ref="J40" si="22">IF(I40="e",H40," ")</f>
        <v xml:space="preserve"> </v>
      </c>
      <c r="K40" s="523">
        <f t="shared" si="16"/>
        <v>-24356816.239999998</v>
      </c>
      <c r="L40" s="523" t="str">
        <f t="shared" si="17"/>
        <v xml:space="preserve"> </v>
      </c>
      <c r="M40" s="561" t="str">
        <f t="shared" si="18"/>
        <v xml:space="preserve"> </v>
      </c>
      <c r="N40" s="561" t="str">
        <f t="shared" si="19"/>
        <v xml:space="preserve"> </v>
      </c>
    </row>
    <row r="41" spans="3:16">
      <c r="C41" s="2069">
        <v>2831002</v>
      </c>
      <c r="D41" s="2081"/>
      <c r="E41" s="564" t="s">
        <v>1326</v>
      </c>
      <c r="G41" s="557" t="s">
        <v>1327</v>
      </c>
      <c r="H41" s="559">
        <v>-8390585</v>
      </c>
      <c r="I41" s="560" t="s">
        <v>288</v>
      </c>
      <c r="J41" s="561">
        <f t="shared" ref="J41" si="23">IF(I41="e",H41," ")</f>
        <v>-8390585</v>
      </c>
      <c r="K41" s="523" t="str">
        <f t="shared" si="16"/>
        <v xml:space="preserve"> </v>
      </c>
      <c r="L41" s="523" t="str">
        <f t="shared" si="17"/>
        <v xml:space="preserve"> </v>
      </c>
      <c r="M41" s="561" t="str">
        <f t="shared" si="18"/>
        <v xml:space="preserve"> </v>
      </c>
      <c r="N41" s="561" t="str">
        <f t="shared" ref="N41" si="24">IF(I41="Labor",H41," ")</f>
        <v xml:space="preserve"> </v>
      </c>
    </row>
    <row r="42" spans="3:16">
      <c r="C42" s="565"/>
      <c r="D42" s="563"/>
      <c r="E42" s="565"/>
      <c r="G42" s="557"/>
      <c r="H42" s="559"/>
      <c r="I42" s="560"/>
      <c r="J42" s="580"/>
      <c r="K42" s="580"/>
      <c r="L42" s="580"/>
      <c r="M42" s="580"/>
      <c r="N42" s="580"/>
    </row>
    <row r="43" spans="3:16">
      <c r="D43" s="493"/>
      <c r="E43" s="571"/>
      <c r="H43" s="523"/>
      <c r="I43" s="523"/>
      <c r="J43" s="576" t="str">
        <f>IF(I43="e",H43," ")</f>
        <v xml:space="preserve"> </v>
      </c>
      <c r="K43" s="576"/>
      <c r="L43" s="576" t="str">
        <f>IF($I43="PTD",$H43," ")</f>
        <v xml:space="preserve"> </v>
      </c>
      <c r="M43" s="576" t="str">
        <f>IF($I43="T&amp;D",$H43," ")</f>
        <v xml:space="preserve"> </v>
      </c>
      <c r="N43" s="576" t="str">
        <f>IF(I43="Labor",H43," ")</f>
        <v xml:space="preserve"> </v>
      </c>
    </row>
    <row r="44" spans="3:16">
      <c r="C44" s="553">
        <v>283.10000000000002</v>
      </c>
      <c r="D44" s="493"/>
      <c r="E44" s="571"/>
      <c r="G44" s="572" t="s">
        <v>156</v>
      </c>
      <c r="H44" s="582">
        <f>SUM(H33:H43)</f>
        <v>-30832183.93</v>
      </c>
      <c r="I44" s="523"/>
      <c r="J44" s="582">
        <f>SUM(J33:J43)</f>
        <v>-8589599.6899999995</v>
      </c>
      <c r="K44" s="582">
        <f>SUM(K33:K43)</f>
        <v>-24356816.239999998</v>
      </c>
      <c r="L44" s="582">
        <f>SUM(L33:L43)</f>
        <v>0</v>
      </c>
      <c r="M44" s="582">
        <f>SUM(M33:M43)</f>
        <v>0</v>
      </c>
      <c r="N44" s="582">
        <f>SUM(N33:N43)</f>
        <v>0</v>
      </c>
      <c r="O44" s="562"/>
      <c r="P44" s="523">
        <f>SUM(J44:O44)</f>
        <v>-32946415.93</v>
      </c>
    </row>
    <row r="45" spans="3:16" ht="25.5" customHeight="1">
      <c r="C45" s="583"/>
      <c r="D45" s="493"/>
      <c r="E45" s="571"/>
      <c r="G45" s="574" t="s">
        <v>110</v>
      </c>
      <c r="H45" s="1923">
        <v>-30832184</v>
      </c>
      <c r="I45"/>
      <c r="J45" s="575"/>
      <c r="K45" s="584"/>
      <c r="L45" s="584"/>
      <c r="M45" s="584"/>
      <c r="N45" s="584"/>
    </row>
    <row r="46" spans="3:16">
      <c r="E46" s="571"/>
      <c r="G46" s="585"/>
      <c r="H46" s="576"/>
      <c r="I46" s="523"/>
      <c r="J46" s="523"/>
      <c r="K46" s="523"/>
      <c r="L46" s="523"/>
      <c r="M46" s="523"/>
      <c r="N46" s="523"/>
    </row>
    <row r="47" spans="3:16">
      <c r="E47" s="571"/>
      <c r="H47" s="576"/>
      <c r="I47" s="523"/>
      <c r="J47" s="523"/>
      <c r="K47" s="523"/>
      <c r="L47" s="523"/>
      <c r="M47" s="523"/>
      <c r="N47" s="523"/>
    </row>
    <row r="48" spans="3:16">
      <c r="C48" s="2068">
        <v>1901001</v>
      </c>
      <c r="D48" s="2084" t="s">
        <v>334</v>
      </c>
      <c r="E48" s="2069" t="s">
        <v>1331</v>
      </c>
      <c r="F48" s="558"/>
      <c r="G48" s="557" t="s">
        <v>1332</v>
      </c>
      <c r="H48" s="559">
        <v>19931.169999999998</v>
      </c>
      <c r="I48" s="560" t="s">
        <v>288</v>
      </c>
      <c r="J48" s="561">
        <f t="shared" ref="J48:J62" si="25">IF(I48="e",H48," ")</f>
        <v>19931.169999999998</v>
      </c>
      <c r="K48" s="523" t="str">
        <f t="shared" ref="K48:K62" si="26">IF($I48="T",$H48," ")</f>
        <v xml:space="preserve"> </v>
      </c>
      <c r="L48" s="523" t="str">
        <f t="shared" ref="L48:L62" si="27">IF($I48="PTD",$H48," ")</f>
        <v xml:space="preserve"> </v>
      </c>
      <c r="M48" s="561" t="str">
        <f t="shared" ref="M48:M62" si="28">IF($I48="T&amp;D",$H48," ")</f>
        <v xml:space="preserve"> </v>
      </c>
      <c r="N48" s="561" t="str">
        <f t="shared" ref="N48:N62" si="29">IF(I48="Labor",H48," ")</f>
        <v xml:space="preserve"> </v>
      </c>
    </row>
    <row r="49" spans="3:16">
      <c r="C49" s="2068">
        <v>1901001</v>
      </c>
      <c r="D49" s="2084" t="s">
        <v>334</v>
      </c>
      <c r="E49" s="2069" t="s">
        <v>1333</v>
      </c>
      <c r="F49" s="558"/>
      <c r="G49" s="557" t="s">
        <v>1334</v>
      </c>
      <c r="H49" s="559">
        <v>612</v>
      </c>
      <c r="I49" s="560" t="s">
        <v>288</v>
      </c>
      <c r="J49" s="561">
        <f t="shared" ref="J49:J59" si="30">IF(I49="e",H49," ")</f>
        <v>612</v>
      </c>
      <c r="K49" s="523" t="str">
        <f t="shared" si="26"/>
        <v xml:space="preserve"> </v>
      </c>
      <c r="L49" s="523" t="str">
        <f t="shared" si="27"/>
        <v xml:space="preserve"> </v>
      </c>
      <c r="M49" s="561" t="str">
        <f t="shared" si="28"/>
        <v xml:space="preserve"> </v>
      </c>
      <c r="N49" s="561" t="str">
        <f t="shared" ref="N49:N59" si="31">IF(I49="Labor",H49," ")</f>
        <v xml:space="preserve"> </v>
      </c>
    </row>
    <row r="50" spans="3:16">
      <c r="C50" s="2068">
        <v>1901001</v>
      </c>
      <c r="D50" s="2084"/>
      <c r="E50" s="2069" t="s">
        <v>1335</v>
      </c>
      <c r="F50" s="558"/>
      <c r="G50" s="557" t="s">
        <v>1336</v>
      </c>
      <c r="H50" s="559">
        <v>301558.44</v>
      </c>
      <c r="I50" s="560" t="s">
        <v>288</v>
      </c>
      <c r="J50" s="561">
        <f t="shared" si="30"/>
        <v>301558.44</v>
      </c>
      <c r="K50" s="523" t="str">
        <f t="shared" si="26"/>
        <v xml:space="preserve"> </v>
      </c>
      <c r="L50" s="523" t="str">
        <f t="shared" si="27"/>
        <v xml:space="preserve"> </v>
      </c>
      <c r="M50" s="561" t="str">
        <f t="shared" si="28"/>
        <v xml:space="preserve"> </v>
      </c>
      <c r="N50" s="561" t="str">
        <f t="shared" si="31"/>
        <v xml:space="preserve"> </v>
      </c>
    </row>
    <row r="51" spans="3:16">
      <c r="C51" s="2068">
        <v>1901001</v>
      </c>
      <c r="D51" s="2084"/>
      <c r="E51" s="2069" t="s">
        <v>1337</v>
      </c>
      <c r="F51" s="558"/>
      <c r="G51" s="557" t="s">
        <v>1338</v>
      </c>
      <c r="H51" s="559">
        <v>-0.21</v>
      </c>
      <c r="I51" s="560" t="s">
        <v>288</v>
      </c>
      <c r="J51" s="561">
        <f t="shared" si="30"/>
        <v>-0.21</v>
      </c>
      <c r="K51" s="523" t="str">
        <f t="shared" si="26"/>
        <v xml:space="preserve"> </v>
      </c>
      <c r="L51" s="523" t="str">
        <f t="shared" si="27"/>
        <v xml:space="preserve"> </v>
      </c>
      <c r="M51" s="561" t="str">
        <f t="shared" si="28"/>
        <v xml:space="preserve"> </v>
      </c>
      <c r="N51" s="561" t="str">
        <f t="shared" si="31"/>
        <v xml:space="preserve"> </v>
      </c>
    </row>
    <row r="52" spans="3:16">
      <c r="C52" s="2068">
        <v>1901001</v>
      </c>
      <c r="D52" s="2084"/>
      <c r="E52" s="2079" t="s">
        <v>1339</v>
      </c>
      <c r="F52" s="558"/>
      <c r="G52" s="557" t="s">
        <v>1340</v>
      </c>
      <c r="H52" s="559">
        <v>-13844.2</v>
      </c>
      <c r="I52" s="560" t="s">
        <v>297</v>
      </c>
      <c r="J52" s="561" t="str">
        <f t="shared" si="30"/>
        <v xml:space="preserve"> </v>
      </c>
      <c r="K52" s="523" t="str">
        <f t="shared" si="26"/>
        <v xml:space="preserve"> </v>
      </c>
      <c r="L52" s="523" t="str">
        <f t="shared" si="27"/>
        <v xml:space="preserve"> </v>
      </c>
      <c r="M52" s="561" t="str">
        <f t="shared" si="28"/>
        <v xml:space="preserve"> </v>
      </c>
      <c r="N52" s="561">
        <f t="shared" si="31"/>
        <v>-13844.2</v>
      </c>
    </row>
    <row r="53" spans="3:16">
      <c r="C53" s="2068">
        <v>1901001</v>
      </c>
      <c r="D53" s="2084"/>
      <c r="E53" s="2069" t="s">
        <v>1287</v>
      </c>
      <c r="F53" s="558"/>
      <c r="G53" s="557" t="s">
        <v>1288</v>
      </c>
      <c r="H53" s="559">
        <v>0</v>
      </c>
      <c r="I53" s="560" t="s">
        <v>288</v>
      </c>
      <c r="J53" s="561">
        <f t="shared" si="30"/>
        <v>0</v>
      </c>
      <c r="K53" s="523" t="str">
        <f t="shared" si="26"/>
        <v xml:space="preserve"> </v>
      </c>
      <c r="L53" s="523" t="str">
        <f t="shared" si="27"/>
        <v xml:space="preserve"> </v>
      </c>
      <c r="M53" s="561" t="str">
        <f t="shared" si="28"/>
        <v xml:space="preserve"> </v>
      </c>
      <c r="N53" s="561" t="str">
        <f t="shared" si="31"/>
        <v xml:space="preserve"> </v>
      </c>
    </row>
    <row r="54" spans="3:16">
      <c r="C54" s="2068">
        <v>1901001</v>
      </c>
      <c r="D54" s="2084" t="s">
        <v>334</v>
      </c>
      <c r="E54" s="2069" t="s">
        <v>1341</v>
      </c>
      <c r="F54" s="558"/>
      <c r="G54" s="557" t="s">
        <v>1342</v>
      </c>
      <c r="H54" s="559">
        <v>56644.39</v>
      </c>
      <c r="I54" s="560" t="s">
        <v>288</v>
      </c>
      <c r="J54" s="561">
        <f t="shared" si="30"/>
        <v>56644.39</v>
      </c>
      <c r="K54" s="523" t="str">
        <f t="shared" si="26"/>
        <v xml:space="preserve"> </v>
      </c>
      <c r="L54" s="523" t="str">
        <f t="shared" si="27"/>
        <v xml:space="preserve"> </v>
      </c>
      <c r="M54" s="561" t="str">
        <f t="shared" si="28"/>
        <v xml:space="preserve"> </v>
      </c>
      <c r="N54" s="561" t="str">
        <f t="shared" si="31"/>
        <v xml:space="preserve"> </v>
      </c>
    </row>
    <row r="55" spans="3:16">
      <c r="C55" s="2068">
        <v>1901001</v>
      </c>
      <c r="D55" s="2084"/>
      <c r="E55" s="2079" t="s">
        <v>1343</v>
      </c>
      <c r="F55" s="558"/>
      <c r="G55" s="557" t="s">
        <v>1344</v>
      </c>
      <c r="H55" s="559">
        <v>195551.73</v>
      </c>
      <c r="I55" s="560" t="s">
        <v>55</v>
      </c>
      <c r="J55" s="561" t="str">
        <f t="shared" si="30"/>
        <v xml:space="preserve"> </v>
      </c>
      <c r="K55" s="523">
        <f t="shared" si="26"/>
        <v>195551.73</v>
      </c>
      <c r="L55" s="523" t="str">
        <f t="shared" si="27"/>
        <v xml:space="preserve"> </v>
      </c>
      <c r="M55" s="561" t="str">
        <f t="shared" si="28"/>
        <v xml:space="preserve"> </v>
      </c>
      <c r="N55" s="561" t="str">
        <f t="shared" si="31"/>
        <v xml:space="preserve"> </v>
      </c>
    </row>
    <row r="56" spans="3:16">
      <c r="C56" s="2068">
        <v>1901001</v>
      </c>
      <c r="D56" s="2084" t="s">
        <v>334</v>
      </c>
      <c r="E56" s="2069" t="s">
        <v>1329</v>
      </c>
      <c r="F56" s="558"/>
      <c r="G56" s="557" t="s">
        <v>1330</v>
      </c>
      <c r="H56" s="559">
        <v>5114931.41</v>
      </c>
      <c r="I56" s="560" t="s">
        <v>55</v>
      </c>
      <c r="J56" s="561" t="str">
        <f t="shared" si="30"/>
        <v xml:space="preserve"> </v>
      </c>
      <c r="K56" s="523">
        <f t="shared" si="26"/>
        <v>5114931.41</v>
      </c>
      <c r="L56" s="523" t="str">
        <f t="shared" si="27"/>
        <v xml:space="preserve"> </v>
      </c>
      <c r="M56" s="561" t="str">
        <f t="shared" si="28"/>
        <v xml:space="preserve"> </v>
      </c>
      <c r="N56" s="561" t="str">
        <f t="shared" si="31"/>
        <v xml:space="preserve"> </v>
      </c>
    </row>
    <row r="57" spans="3:16">
      <c r="C57" s="2068">
        <v>1901001</v>
      </c>
      <c r="D57" s="2084"/>
      <c r="E57" s="2069" t="s">
        <v>1354</v>
      </c>
      <c r="F57" s="558"/>
      <c r="G57" s="557" t="s">
        <v>1189</v>
      </c>
      <c r="H57" s="559">
        <v>40000668.686105192</v>
      </c>
      <c r="I57" s="560" t="s">
        <v>155</v>
      </c>
      <c r="J57" s="561" t="str">
        <f t="shared" ref="J57" si="32">IF(I57="e",H57," ")</f>
        <v xml:space="preserve"> </v>
      </c>
      <c r="K57" s="523" t="str">
        <f t="shared" si="26"/>
        <v xml:space="preserve"> </v>
      </c>
      <c r="L57" s="559">
        <f t="shared" si="27"/>
        <v>40000668.686105192</v>
      </c>
      <c r="M57" s="561" t="str">
        <f t="shared" si="28"/>
        <v xml:space="preserve"> </v>
      </c>
      <c r="N57" s="561" t="str">
        <f t="shared" ref="N57" si="33">IF(I57="Labor",H57," ")</f>
        <v xml:space="preserve"> </v>
      </c>
    </row>
    <row r="58" spans="3:16">
      <c r="C58" s="2068">
        <v>1901001</v>
      </c>
      <c r="D58" s="2084"/>
      <c r="E58" s="2069" t="s">
        <v>1354</v>
      </c>
      <c r="F58" s="558"/>
      <c r="G58" s="557" t="s">
        <v>1189</v>
      </c>
      <c r="H58" s="559">
        <f>-H57</f>
        <v>-40000668.686105192</v>
      </c>
      <c r="I58" s="560" t="s">
        <v>288</v>
      </c>
      <c r="J58" s="559">
        <f t="shared" ref="J58" si="34">IF(I58="e",H58," ")</f>
        <v>-40000668.686105192</v>
      </c>
      <c r="K58" s="523" t="str">
        <f t="shared" ref="K58" si="35">IF($I58="T",$H58," ")</f>
        <v xml:space="preserve"> </v>
      </c>
      <c r="L58" s="523" t="str">
        <f t="shared" ref="L58" si="36">IF($I58="PTD",$H58," ")</f>
        <v xml:space="preserve"> </v>
      </c>
      <c r="M58" s="561" t="str">
        <f t="shared" ref="M58" si="37">IF($I58="T&amp;D",$H58," ")</f>
        <v xml:space="preserve"> </v>
      </c>
      <c r="N58" s="561" t="str">
        <f t="shared" ref="N58" si="38">IF(I58="Labor",H58," ")</f>
        <v xml:space="preserve"> </v>
      </c>
    </row>
    <row r="59" spans="3:16">
      <c r="C59" s="2070"/>
      <c r="D59" s="2084"/>
      <c r="E59" s="2069"/>
      <c r="F59" s="558"/>
      <c r="G59" s="557"/>
      <c r="H59" s="559"/>
      <c r="I59" s="560"/>
      <c r="J59" s="561" t="str">
        <f t="shared" si="30"/>
        <v xml:space="preserve"> </v>
      </c>
      <c r="K59" s="523" t="str">
        <f t="shared" si="26"/>
        <v xml:space="preserve"> </v>
      </c>
      <c r="L59" s="523" t="str">
        <f t="shared" si="27"/>
        <v xml:space="preserve"> </v>
      </c>
      <c r="M59" s="561" t="str">
        <f t="shared" si="28"/>
        <v xml:space="preserve"> </v>
      </c>
      <c r="N59" s="561" t="str">
        <f t="shared" si="31"/>
        <v xml:space="preserve"> </v>
      </c>
    </row>
    <row r="60" spans="3:16">
      <c r="C60" s="150"/>
      <c r="D60" s="150"/>
      <c r="E60" s="2077"/>
      <c r="F60" s="558"/>
      <c r="G60" s="558"/>
      <c r="H60" s="580"/>
      <c r="I60" s="586"/>
      <c r="J60" s="561" t="str">
        <f t="shared" si="25"/>
        <v xml:space="preserve"> </v>
      </c>
      <c r="K60" s="523" t="str">
        <f t="shared" si="26"/>
        <v xml:space="preserve"> </v>
      </c>
      <c r="L60" s="523" t="str">
        <f t="shared" si="27"/>
        <v xml:space="preserve"> </v>
      </c>
      <c r="M60" s="561" t="str">
        <f t="shared" si="28"/>
        <v xml:space="preserve"> </v>
      </c>
      <c r="N60" s="561" t="str">
        <f t="shared" si="29"/>
        <v xml:space="preserve"> </v>
      </c>
    </row>
    <row r="61" spans="3:16">
      <c r="C61" s="2070">
        <v>1901002</v>
      </c>
      <c r="D61" s="2084"/>
      <c r="E61" s="2069" t="s">
        <v>1322</v>
      </c>
      <c r="F61" s="558"/>
      <c r="G61" s="557" t="s">
        <v>1323</v>
      </c>
      <c r="H61" s="559">
        <v>9338274.1999999993</v>
      </c>
      <c r="I61" s="560" t="s">
        <v>288</v>
      </c>
      <c r="J61" s="561">
        <f t="shared" si="25"/>
        <v>9338274.1999999993</v>
      </c>
      <c r="K61" s="523" t="str">
        <f t="shared" si="26"/>
        <v xml:space="preserve"> </v>
      </c>
      <c r="L61" s="523" t="str">
        <f t="shared" si="27"/>
        <v xml:space="preserve"> </v>
      </c>
      <c r="M61" s="561" t="str">
        <f t="shared" si="28"/>
        <v xml:space="preserve"> </v>
      </c>
      <c r="N61" s="561" t="str">
        <f t="shared" si="29"/>
        <v xml:space="preserve"> </v>
      </c>
    </row>
    <row r="62" spans="3:16">
      <c r="C62" s="565"/>
      <c r="D62" s="563"/>
      <c r="E62" s="565"/>
      <c r="F62" s="556"/>
      <c r="G62" s="565"/>
      <c r="H62" s="566"/>
      <c r="I62" s="564"/>
      <c r="J62" s="561" t="str">
        <f t="shared" si="25"/>
        <v xml:space="preserve"> </v>
      </c>
      <c r="K62" s="523" t="str">
        <f t="shared" si="26"/>
        <v xml:space="preserve"> </v>
      </c>
      <c r="L62" s="523" t="str">
        <f t="shared" si="27"/>
        <v xml:space="preserve"> </v>
      </c>
      <c r="M62" s="561" t="str">
        <f t="shared" si="28"/>
        <v xml:space="preserve"> </v>
      </c>
      <c r="N62" s="561" t="str">
        <f t="shared" si="29"/>
        <v xml:space="preserve"> </v>
      </c>
    </row>
    <row r="63" spans="3:16">
      <c r="C63" s="587"/>
      <c r="J63" s="585"/>
    </row>
    <row r="64" spans="3:16">
      <c r="C64" s="553">
        <v>190.1</v>
      </c>
      <c r="D64" s="493"/>
      <c r="G64" s="572" t="s">
        <v>156</v>
      </c>
      <c r="H64" s="582">
        <f>SUM(H48:H63)</f>
        <v>15013658.930000003</v>
      </c>
      <c r="I64" s="523"/>
      <c r="J64" s="582">
        <f>SUM(J48:J63)</f>
        <v>-30283648.696105193</v>
      </c>
      <c r="K64" s="582">
        <f>SUM(K48:K63)</f>
        <v>5310483.1400000006</v>
      </c>
      <c r="L64" s="582">
        <f>SUM(L48:L63)</f>
        <v>40000668.686105192</v>
      </c>
      <c r="M64" s="582">
        <f>SUM(M48:M63)</f>
        <v>0</v>
      </c>
      <c r="N64" s="582">
        <f>SUM(N48:N63)</f>
        <v>-13844.2</v>
      </c>
      <c r="O64" s="562"/>
      <c r="P64" s="523">
        <f>SUM(J64:O64)</f>
        <v>15013658.93</v>
      </c>
    </row>
    <row r="65" spans="7:10">
      <c r="G65" s="574" t="s">
        <v>126</v>
      </c>
      <c r="H65" s="566">
        <v>15013659</v>
      </c>
      <c r="I65"/>
      <c r="J65" s="575"/>
    </row>
    <row r="66" spans="7:10">
      <c r="J66" s="585"/>
    </row>
    <row r="83" spans="3:8">
      <c r="C83" s="589"/>
      <c r="D83" s="568"/>
      <c r="E83" s="589"/>
      <c r="G83" s="589"/>
      <c r="H83" s="590"/>
    </row>
    <row r="119" spans="3:6">
      <c r="C119" s="589"/>
      <c r="D119" s="589"/>
      <c r="E119" s="589"/>
      <c r="F119" s="548"/>
    </row>
    <row r="120" spans="3:6">
      <c r="C120" s="589"/>
      <c r="D120" s="589"/>
      <c r="E120" s="589"/>
    </row>
    <row r="121" spans="3:6">
      <c r="C121" s="589"/>
      <c r="D121" s="589"/>
      <c r="E121" s="589"/>
    </row>
    <row r="122" spans="3:6">
      <c r="C122" s="589"/>
      <c r="D122" s="589"/>
      <c r="E122" s="589"/>
    </row>
    <row r="123" spans="3:6">
      <c r="C123" s="589"/>
      <c r="D123" s="589"/>
      <c r="E123" s="589"/>
    </row>
    <row r="124" spans="3:6">
      <c r="C124" s="589"/>
      <c r="D124" s="589"/>
      <c r="E124" s="589"/>
    </row>
    <row r="125" spans="3:6">
      <c r="C125" s="589"/>
      <c r="D125" s="589"/>
      <c r="E125" s="589"/>
    </row>
    <row r="126" spans="3:6">
      <c r="C126" s="589"/>
      <c r="D126" s="589"/>
      <c r="E126" s="589"/>
    </row>
    <row r="127" spans="3:6">
      <c r="C127" s="589"/>
      <c r="D127" s="589"/>
      <c r="E127" s="589"/>
    </row>
    <row r="128" spans="3:6">
      <c r="C128" s="589"/>
      <c r="D128" s="589"/>
      <c r="E128" s="589"/>
    </row>
    <row r="129" spans="3:5">
      <c r="C129" s="589"/>
      <c r="D129" s="589"/>
      <c r="E129" s="589"/>
    </row>
    <row r="130" spans="3:5">
      <c r="C130" s="589"/>
      <c r="D130" s="589"/>
      <c r="E130" s="589"/>
    </row>
    <row r="131" spans="3:5">
      <c r="C131" s="589"/>
      <c r="D131" s="589"/>
      <c r="E131" s="589"/>
    </row>
    <row r="132" spans="3:5">
      <c r="C132" s="589"/>
      <c r="D132" s="589"/>
      <c r="E132" s="589"/>
    </row>
    <row r="133" spans="3:5">
      <c r="C133" s="589"/>
      <c r="D133" s="589"/>
      <c r="E133" s="589"/>
    </row>
    <row r="134" spans="3:5">
      <c r="C134" s="589"/>
      <c r="D134" s="589"/>
      <c r="E134" s="589"/>
    </row>
    <row r="135" spans="3:5">
      <c r="C135" s="589"/>
      <c r="D135" s="589"/>
      <c r="E135" s="589"/>
    </row>
    <row r="136" spans="3:5">
      <c r="C136" s="589"/>
      <c r="D136" s="589"/>
      <c r="E136" s="589"/>
    </row>
    <row r="137" spans="3:5">
      <c r="C137" s="589"/>
      <c r="D137" s="589"/>
      <c r="E137" s="589"/>
    </row>
    <row r="138" spans="3:5">
      <c r="D138" s="493"/>
    </row>
    <row r="139" spans="3:5">
      <c r="D139" s="493"/>
    </row>
    <row r="140" spans="3:5">
      <c r="D140" s="493"/>
    </row>
    <row r="141" spans="3:5">
      <c r="D141" s="493"/>
    </row>
    <row r="142" spans="3:5">
      <c r="D142" s="493"/>
    </row>
    <row r="143" spans="3:5">
      <c r="D143" s="493"/>
    </row>
    <row r="144" spans="3:5">
      <c r="D144" s="493"/>
    </row>
    <row r="145" spans="3:7">
      <c r="D145" s="493"/>
    </row>
    <row r="146" spans="3:7">
      <c r="D146" s="493"/>
    </row>
    <row r="147" spans="3:7">
      <c r="D147" s="493"/>
    </row>
    <row r="148" spans="3:7">
      <c r="D148" s="493"/>
    </row>
    <row r="149" spans="3:7">
      <c r="D149" s="493"/>
    </row>
    <row r="150" spans="3:7">
      <c r="D150" s="493"/>
    </row>
    <row r="151" spans="3:7">
      <c r="D151" s="493"/>
    </row>
    <row r="152" spans="3:7">
      <c r="D152" s="493"/>
    </row>
    <row r="153" spans="3:7">
      <c r="D153" s="493"/>
    </row>
    <row r="154" spans="3:7">
      <c r="D154" s="493"/>
    </row>
    <row r="155" spans="3:7">
      <c r="C155" s="589"/>
      <c r="D155" s="568"/>
      <c r="E155" s="589"/>
      <c r="F155" s="589"/>
      <c r="G155" s="589"/>
    </row>
    <row r="156" spans="3:7">
      <c r="C156" s="589"/>
      <c r="D156" s="568"/>
      <c r="E156" s="589"/>
      <c r="F156" s="589"/>
      <c r="G156" s="589"/>
    </row>
    <row r="157" spans="3:7">
      <c r="C157" s="589"/>
      <c r="D157" s="568"/>
      <c r="E157" s="589"/>
      <c r="F157" s="589"/>
      <c r="G157" s="589"/>
    </row>
    <row r="158" spans="3:7">
      <c r="C158" s="589"/>
      <c r="D158" s="568"/>
      <c r="E158" s="589"/>
      <c r="F158" s="589"/>
      <c r="G158" s="589"/>
    </row>
    <row r="159" spans="3:7">
      <c r="C159" s="589"/>
      <c r="D159" s="568"/>
      <c r="E159" s="589"/>
      <c r="F159" s="589"/>
      <c r="G159" s="589"/>
    </row>
    <row r="160" spans="3:7">
      <c r="C160" s="589"/>
      <c r="D160" s="568"/>
      <c r="E160" s="589"/>
      <c r="F160" s="589"/>
      <c r="G160" s="589"/>
    </row>
  </sheetData>
  <mergeCells count="5">
    <mergeCell ref="J8:N8"/>
    <mergeCell ref="C4:N4"/>
    <mergeCell ref="C5:N5"/>
    <mergeCell ref="C6:N6"/>
    <mergeCell ref="C3:N3"/>
  </mergeCells>
  <phoneticPr fontId="0" type="noConversion"/>
  <conditionalFormatting sqref="O24:O25 O28:O29">
    <cfRule type="cellIs" dxfId="10" priority="2" stopIfTrue="1" operator="equal">
      <formula>FALSE</formula>
    </cfRule>
  </conditionalFormatting>
  <conditionalFormatting sqref="O64 O44">
    <cfRule type="cellIs" dxfId="9" priority="3" stopIfTrue="1" operator="equal">
      <formula>FALSE</formula>
    </cfRule>
  </conditionalFormatting>
  <conditionalFormatting sqref="O26:O27">
    <cfRule type="cellIs" dxfId="8"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Transco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zoomScale="90" zoomScaleNormal="90" zoomScaleSheetLayoutView="90" zoomScalePageLayoutView="90" workbookViewId="0">
      <selection activeCell="Q26" sqref="Q26"/>
    </sheetView>
  </sheetViews>
  <sheetFormatPr defaultColWidth="9.28515625" defaultRowHeight="12.75"/>
  <cols>
    <col min="1" max="1" width="9.28515625" style="478"/>
    <col min="2" max="2" width="33.7109375" style="478" customWidth="1"/>
    <col min="3" max="3" width="16" style="478" customWidth="1"/>
    <col min="4" max="4" width="16.7109375" style="478" customWidth="1"/>
    <col min="5" max="6" width="12" style="478" customWidth="1"/>
    <col min="7" max="7" width="15" style="478" customWidth="1"/>
    <col min="8" max="8" width="17.28515625" style="478" customWidth="1"/>
    <col min="9" max="9" width="16.5703125" style="478" customWidth="1"/>
    <col min="10" max="16384" width="9.28515625" style="478"/>
  </cols>
  <sheetData>
    <row r="1" spans="1:256" ht="15">
      <c r="A1" s="477"/>
    </row>
    <row r="3" spans="1:256" ht="18" customHeight="1">
      <c r="A3" s="2200" t="str">
        <f>+'OKT TCOS'!F4</f>
        <v xml:space="preserve">AEP West SPP Member Transmission Companies </v>
      </c>
      <c r="B3" s="2200"/>
      <c r="C3" s="2200"/>
      <c r="D3" s="2200"/>
      <c r="E3" s="2200"/>
      <c r="F3" s="2200"/>
      <c r="G3" s="2200"/>
      <c r="H3" s="2200"/>
      <c r="I3" s="2200"/>
      <c r="J3" s="593"/>
      <c r="K3" s="593"/>
      <c r="L3" s="593"/>
    </row>
    <row r="4" spans="1:256" ht="18">
      <c r="A4" s="2207" t="str">
        <f>+'OKT TCOS'!F8</f>
        <v>AEP OKLAHOMA TRANSMISSION COMPANY, INC.</v>
      </c>
      <c r="B4" s="2207"/>
      <c r="C4" s="2207"/>
      <c r="D4" s="2207"/>
      <c r="E4" s="2207"/>
      <c r="F4" s="2207"/>
      <c r="G4" s="2207"/>
      <c r="H4" s="2207"/>
      <c r="I4" s="2207"/>
      <c r="J4" s="594"/>
      <c r="K4" s="594"/>
      <c r="L4" s="594"/>
    </row>
    <row r="5" spans="1:256" ht="18">
      <c r="A5" s="2198" t="s">
        <v>627</v>
      </c>
      <c r="B5" s="2198"/>
      <c r="C5" s="2198"/>
      <c r="D5" s="2198"/>
      <c r="E5" s="2198"/>
      <c r="F5" s="2198"/>
      <c r="G5" s="2198"/>
      <c r="H5" s="2198"/>
      <c r="I5" s="2198"/>
      <c r="J5" s="594"/>
      <c r="K5" s="594"/>
      <c r="L5" s="594"/>
    </row>
    <row r="6" spans="1:256" ht="18">
      <c r="A6" s="2204" t="str">
        <f>"AS OF DECEMBER 31, "&amp;'OKT TCOS'!N2&amp;""</f>
        <v>AS OF DECEMBER 31, 2022</v>
      </c>
      <c r="B6" s="2204"/>
      <c r="C6" s="2204"/>
      <c r="D6" s="2204"/>
      <c r="E6" s="2204"/>
      <c r="F6" s="2204"/>
      <c r="G6" s="2204"/>
      <c r="H6" s="2204"/>
      <c r="I6" s="2204"/>
      <c r="J6" s="595"/>
      <c r="K6" s="595"/>
      <c r="L6" s="595"/>
    </row>
    <row r="7" spans="1:256" ht="15.75">
      <c r="A7" s="596"/>
      <c r="B7" s="2208"/>
      <c r="C7" s="2208"/>
      <c r="D7" s="2208"/>
      <c r="E7" s="2208"/>
      <c r="F7" s="597"/>
      <c r="G7" s="597"/>
      <c r="H7" s="597"/>
      <c r="I7" s="597"/>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c r="DF7" s="596"/>
      <c r="DG7" s="596"/>
      <c r="DH7" s="596"/>
      <c r="DI7" s="596"/>
      <c r="DJ7" s="596"/>
      <c r="DK7" s="596"/>
      <c r="DL7" s="596"/>
      <c r="DM7" s="596"/>
      <c r="DN7" s="596"/>
      <c r="DO7" s="596"/>
      <c r="DP7" s="596"/>
      <c r="DQ7" s="596"/>
      <c r="DR7" s="596"/>
      <c r="DS7" s="596"/>
      <c r="DT7" s="596"/>
      <c r="DU7" s="596"/>
      <c r="DV7" s="596"/>
      <c r="DW7" s="596"/>
      <c r="DX7" s="596"/>
      <c r="DY7" s="596"/>
      <c r="DZ7" s="596"/>
      <c r="EA7" s="596"/>
      <c r="EB7" s="596"/>
      <c r="EC7" s="596"/>
      <c r="ED7" s="596"/>
      <c r="EE7" s="596"/>
      <c r="EF7" s="596"/>
      <c r="EG7" s="596"/>
      <c r="EH7" s="596"/>
      <c r="EI7" s="596"/>
      <c r="EJ7" s="596"/>
      <c r="EK7" s="596"/>
      <c r="EL7" s="596"/>
      <c r="EM7" s="596"/>
      <c r="EN7" s="596"/>
      <c r="EO7" s="596"/>
      <c r="EP7" s="596"/>
      <c r="EQ7" s="596"/>
      <c r="ER7" s="596"/>
      <c r="ES7" s="596"/>
      <c r="ET7" s="596"/>
      <c r="EU7" s="596"/>
      <c r="EV7" s="596"/>
      <c r="EW7" s="596"/>
      <c r="EX7" s="596"/>
      <c r="EY7" s="596"/>
      <c r="EZ7" s="596"/>
      <c r="FA7" s="596"/>
      <c r="FB7" s="596"/>
      <c r="FC7" s="596"/>
      <c r="FD7" s="596"/>
      <c r="FE7" s="596"/>
      <c r="FF7" s="596"/>
      <c r="FG7" s="596"/>
      <c r="FH7" s="596"/>
      <c r="FI7" s="596"/>
      <c r="FJ7" s="596"/>
      <c r="FK7" s="596"/>
      <c r="FL7" s="596"/>
      <c r="FM7" s="596"/>
      <c r="FN7" s="596"/>
      <c r="FO7" s="596"/>
      <c r="FP7" s="596"/>
      <c r="FQ7" s="596"/>
      <c r="FR7" s="596"/>
      <c r="FS7" s="596"/>
      <c r="FT7" s="596"/>
      <c r="FU7" s="596"/>
      <c r="FV7" s="596"/>
      <c r="FW7" s="596"/>
      <c r="FX7" s="596"/>
      <c r="FY7" s="596"/>
      <c r="FZ7" s="596"/>
      <c r="GA7" s="596"/>
      <c r="GB7" s="596"/>
      <c r="GC7" s="596"/>
      <c r="GD7" s="596"/>
      <c r="GE7" s="596"/>
      <c r="GF7" s="596"/>
      <c r="GG7" s="596"/>
      <c r="GH7" s="596"/>
      <c r="GI7" s="596"/>
      <c r="GJ7" s="596"/>
      <c r="GK7" s="596"/>
      <c r="GL7" s="596"/>
      <c r="GM7" s="596"/>
      <c r="GN7" s="596"/>
      <c r="GO7" s="596"/>
      <c r="GP7" s="596"/>
      <c r="GQ7" s="596"/>
      <c r="GR7" s="596"/>
      <c r="GS7" s="596"/>
      <c r="GT7" s="596"/>
      <c r="GU7" s="596"/>
      <c r="GV7" s="596"/>
      <c r="GW7" s="596"/>
      <c r="GX7" s="596"/>
      <c r="GY7" s="596"/>
      <c r="GZ7" s="596"/>
      <c r="HA7" s="596"/>
      <c r="HB7" s="596"/>
      <c r="HC7" s="596"/>
      <c r="HD7" s="596"/>
      <c r="HE7" s="596"/>
      <c r="HF7" s="596"/>
      <c r="HG7" s="596"/>
      <c r="HH7" s="596"/>
      <c r="HI7" s="596"/>
      <c r="HJ7" s="596"/>
      <c r="HK7" s="596"/>
      <c r="HL7" s="596"/>
      <c r="HM7" s="596"/>
      <c r="HN7" s="596"/>
      <c r="HO7" s="596"/>
      <c r="HP7" s="596"/>
      <c r="HQ7" s="596"/>
      <c r="HR7" s="596"/>
      <c r="HS7" s="596"/>
      <c r="HT7" s="596"/>
      <c r="HU7" s="596"/>
      <c r="HV7" s="596"/>
      <c r="HW7" s="596"/>
      <c r="HX7" s="596"/>
      <c r="HY7" s="596"/>
      <c r="HZ7" s="596"/>
      <c r="IA7" s="596"/>
      <c r="IB7" s="596"/>
      <c r="IC7" s="596"/>
      <c r="ID7" s="596"/>
      <c r="IE7" s="596"/>
      <c r="IF7" s="596"/>
      <c r="IG7" s="596"/>
      <c r="IH7" s="596"/>
      <c r="II7" s="596"/>
      <c r="IJ7" s="596"/>
      <c r="IK7" s="596"/>
      <c r="IL7" s="596"/>
      <c r="IM7" s="596"/>
      <c r="IN7" s="596"/>
      <c r="IO7" s="596"/>
      <c r="IP7" s="596"/>
      <c r="IQ7" s="596"/>
      <c r="IR7" s="596"/>
      <c r="IS7" s="596"/>
      <c r="IT7" s="596"/>
      <c r="IU7" s="596"/>
      <c r="IV7" s="596"/>
    </row>
    <row r="8" spans="1:256" ht="57" customHeight="1">
      <c r="A8" s="2209" t="s">
        <v>613</v>
      </c>
      <c r="B8" s="2209"/>
      <c r="C8" s="2209"/>
      <c r="D8" s="2209"/>
      <c r="E8" s="2209"/>
      <c r="F8" s="2209"/>
      <c r="G8" s="2209"/>
      <c r="H8" s="2209"/>
      <c r="I8" s="2209"/>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K8" s="596"/>
      <c r="FL8" s="596"/>
      <c r="FM8" s="596"/>
      <c r="FN8" s="596"/>
      <c r="FO8" s="596"/>
      <c r="FP8" s="596"/>
      <c r="FQ8" s="596"/>
      <c r="FR8" s="596"/>
      <c r="FS8" s="596"/>
      <c r="FT8" s="596"/>
      <c r="FU8" s="596"/>
      <c r="FV8" s="596"/>
      <c r="FW8" s="596"/>
      <c r="FX8" s="596"/>
      <c r="FY8" s="596"/>
      <c r="FZ8" s="596"/>
      <c r="GA8" s="596"/>
      <c r="GB8" s="596"/>
      <c r="GC8" s="596"/>
      <c r="GD8" s="596"/>
      <c r="GE8" s="596"/>
      <c r="GF8" s="596"/>
      <c r="GG8" s="596"/>
      <c r="GH8" s="596"/>
      <c r="GI8" s="596"/>
      <c r="GJ8" s="596"/>
      <c r="GK8" s="596"/>
      <c r="GL8" s="596"/>
      <c r="GM8" s="596"/>
      <c r="GN8" s="596"/>
      <c r="GO8" s="596"/>
      <c r="GP8" s="596"/>
      <c r="GQ8" s="596"/>
      <c r="GR8" s="596"/>
      <c r="GS8" s="596"/>
      <c r="GT8" s="596"/>
      <c r="GU8" s="596"/>
      <c r="GV8" s="596"/>
      <c r="GW8" s="596"/>
      <c r="GX8" s="596"/>
      <c r="GY8" s="596"/>
      <c r="GZ8" s="596"/>
      <c r="HA8" s="596"/>
      <c r="HB8" s="596"/>
      <c r="HC8" s="596"/>
      <c r="HD8" s="596"/>
      <c r="HE8" s="596"/>
      <c r="HF8" s="596"/>
      <c r="HG8" s="596"/>
      <c r="HH8" s="596"/>
      <c r="HI8" s="596"/>
      <c r="HJ8" s="596"/>
      <c r="HK8" s="596"/>
      <c r="HL8" s="596"/>
      <c r="HM8" s="596"/>
      <c r="HN8" s="596"/>
      <c r="HO8" s="596"/>
      <c r="HP8" s="596"/>
      <c r="HQ8" s="596"/>
      <c r="HR8" s="596"/>
      <c r="HS8" s="596"/>
      <c r="HT8" s="596"/>
      <c r="HU8" s="596"/>
      <c r="HV8" s="596"/>
      <c r="HW8" s="596"/>
      <c r="HX8" s="596"/>
      <c r="HY8" s="596"/>
      <c r="HZ8" s="596"/>
      <c r="IA8" s="596"/>
      <c r="IB8" s="596"/>
      <c r="IC8" s="596"/>
      <c r="ID8" s="596"/>
      <c r="IE8" s="596"/>
      <c r="IF8" s="596"/>
      <c r="IG8" s="596"/>
      <c r="IH8" s="596"/>
      <c r="II8" s="596"/>
      <c r="IJ8" s="596"/>
      <c r="IK8" s="596"/>
      <c r="IL8" s="596"/>
      <c r="IM8" s="596"/>
      <c r="IN8" s="596"/>
      <c r="IO8" s="596"/>
      <c r="IP8" s="596"/>
      <c r="IQ8" s="596"/>
      <c r="IR8" s="596"/>
      <c r="IS8" s="596"/>
      <c r="IT8" s="596"/>
      <c r="IU8" s="596"/>
      <c r="IV8" s="596"/>
    </row>
    <row r="9" spans="1:256">
      <c r="B9" s="598"/>
      <c r="C9" s="598"/>
      <c r="D9" s="598"/>
      <c r="E9" s="598"/>
      <c r="F9" s="598"/>
      <c r="G9" s="598"/>
      <c r="H9" s="598"/>
      <c r="I9" s="598"/>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6"/>
      <c r="BU9" s="596"/>
      <c r="BV9" s="596"/>
      <c r="BW9" s="596"/>
      <c r="BX9" s="596"/>
      <c r="BY9" s="596"/>
      <c r="BZ9" s="596"/>
      <c r="CA9" s="596"/>
      <c r="CB9" s="596"/>
      <c r="CC9" s="596"/>
      <c r="CD9" s="596"/>
      <c r="CE9" s="596"/>
      <c r="CF9" s="596"/>
      <c r="CG9" s="596"/>
      <c r="CH9" s="596"/>
      <c r="CI9" s="596"/>
      <c r="CJ9" s="596"/>
      <c r="CK9" s="596"/>
      <c r="CL9" s="596"/>
      <c r="CM9" s="596"/>
      <c r="CN9" s="596"/>
      <c r="CO9" s="596"/>
      <c r="CP9" s="596"/>
      <c r="CQ9" s="596"/>
      <c r="CR9" s="596"/>
      <c r="CS9" s="596"/>
      <c r="CT9" s="596"/>
      <c r="CU9" s="596"/>
      <c r="CV9" s="596"/>
      <c r="CW9" s="596"/>
      <c r="CX9" s="596"/>
      <c r="CY9" s="596"/>
      <c r="CZ9" s="596"/>
      <c r="DA9" s="596"/>
      <c r="DB9" s="596"/>
      <c r="DC9" s="596"/>
      <c r="DD9" s="596"/>
      <c r="DE9" s="596"/>
      <c r="DF9" s="596"/>
      <c r="DG9" s="596"/>
      <c r="DH9" s="596"/>
      <c r="DI9" s="596"/>
      <c r="DJ9" s="596"/>
      <c r="DK9" s="596"/>
      <c r="DL9" s="596"/>
      <c r="DM9" s="596"/>
      <c r="DN9" s="596"/>
      <c r="DO9" s="596"/>
      <c r="DP9" s="596"/>
      <c r="DQ9" s="596"/>
      <c r="DR9" s="596"/>
      <c r="DS9" s="596"/>
      <c r="DT9" s="596"/>
      <c r="DU9" s="596"/>
      <c r="DV9" s="596"/>
      <c r="DW9" s="596"/>
      <c r="DX9" s="596"/>
      <c r="DY9" s="596"/>
      <c r="DZ9" s="596"/>
      <c r="EA9" s="596"/>
      <c r="EB9" s="596"/>
      <c r="EC9" s="596"/>
      <c r="ED9" s="596"/>
      <c r="EE9" s="596"/>
      <c r="EF9" s="596"/>
      <c r="EG9" s="596"/>
      <c r="EH9" s="596"/>
      <c r="EI9" s="596"/>
      <c r="EJ9" s="596"/>
      <c r="EK9" s="596"/>
      <c r="EL9" s="596"/>
      <c r="EM9" s="596"/>
      <c r="EN9" s="596"/>
      <c r="EO9" s="596"/>
      <c r="EP9" s="596"/>
      <c r="EQ9" s="596"/>
      <c r="ER9" s="596"/>
      <c r="ES9" s="596"/>
      <c r="ET9" s="596"/>
      <c r="EU9" s="596"/>
      <c r="EV9" s="596"/>
      <c r="EW9" s="596"/>
      <c r="EX9" s="596"/>
      <c r="EY9" s="596"/>
      <c r="EZ9" s="596"/>
      <c r="FA9" s="596"/>
      <c r="FB9" s="596"/>
      <c r="FC9" s="596"/>
      <c r="FD9" s="596"/>
      <c r="FE9" s="596"/>
      <c r="FF9" s="596"/>
      <c r="FG9" s="596"/>
      <c r="FH9" s="596"/>
      <c r="FI9" s="596"/>
      <c r="FJ9" s="596"/>
      <c r="FK9" s="596"/>
      <c r="FL9" s="596"/>
      <c r="FM9" s="596"/>
      <c r="FN9" s="596"/>
      <c r="FO9" s="596"/>
      <c r="FP9" s="596"/>
      <c r="FQ9" s="596"/>
      <c r="FR9" s="596"/>
      <c r="FS9" s="596"/>
      <c r="FT9" s="596"/>
      <c r="FU9" s="596"/>
      <c r="FV9" s="596"/>
      <c r="FW9" s="596"/>
      <c r="FX9" s="596"/>
      <c r="FY9" s="596"/>
      <c r="FZ9" s="596"/>
      <c r="GA9" s="596"/>
      <c r="GB9" s="596"/>
      <c r="GC9" s="596"/>
      <c r="GD9" s="596"/>
      <c r="GE9" s="596"/>
      <c r="GF9" s="596"/>
      <c r="GG9" s="596"/>
      <c r="GH9" s="596"/>
      <c r="GI9" s="596"/>
      <c r="GJ9" s="596"/>
      <c r="GK9" s="596"/>
      <c r="GL9" s="596"/>
      <c r="GM9" s="596"/>
      <c r="GN9" s="596"/>
      <c r="GO9" s="596"/>
      <c r="GP9" s="596"/>
      <c r="GQ9" s="596"/>
      <c r="GR9" s="596"/>
      <c r="GS9" s="596"/>
      <c r="GT9" s="596"/>
      <c r="GU9" s="596"/>
      <c r="GV9" s="596"/>
      <c r="GW9" s="596"/>
      <c r="GX9" s="596"/>
      <c r="GY9" s="596"/>
      <c r="GZ9" s="596"/>
      <c r="HA9" s="596"/>
      <c r="HB9" s="596"/>
      <c r="HC9" s="596"/>
      <c r="HD9" s="596"/>
      <c r="HE9" s="596"/>
      <c r="HF9" s="596"/>
      <c r="HG9" s="596"/>
      <c r="HH9" s="596"/>
      <c r="HI9" s="596"/>
      <c r="HJ9" s="596"/>
      <c r="HK9" s="596"/>
      <c r="HL9" s="596"/>
      <c r="HM9" s="596"/>
      <c r="HN9" s="596"/>
      <c r="HO9" s="596"/>
      <c r="HP9" s="596"/>
      <c r="HQ9" s="596"/>
      <c r="HR9" s="596"/>
      <c r="HS9" s="596"/>
      <c r="HT9" s="596"/>
      <c r="HU9" s="596"/>
      <c r="HV9" s="596"/>
      <c r="HW9" s="596"/>
      <c r="HX9" s="596"/>
      <c r="HY9" s="596"/>
      <c r="HZ9" s="596"/>
      <c r="IA9" s="596"/>
      <c r="IB9" s="596"/>
      <c r="IC9" s="596"/>
      <c r="ID9" s="596"/>
      <c r="IE9" s="596"/>
      <c r="IF9" s="596"/>
      <c r="IG9" s="596"/>
      <c r="IH9" s="596"/>
      <c r="II9" s="596"/>
      <c r="IJ9" s="596"/>
      <c r="IK9" s="596"/>
      <c r="IL9" s="596"/>
      <c r="IM9" s="596"/>
      <c r="IN9" s="596"/>
      <c r="IO9" s="596"/>
      <c r="IP9" s="596"/>
      <c r="IQ9" s="596"/>
      <c r="IR9" s="596"/>
      <c r="IS9" s="596"/>
      <c r="IT9" s="596"/>
      <c r="IU9" s="596"/>
      <c r="IV9" s="596"/>
    </row>
    <row r="10" spans="1:256">
      <c r="A10" s="599" t="s">
        <v>612</v>
      </c>
      <c r="B10" s="598"/>
      <c r="C10" s="596"/>
      <c r="D10" s="598"/>
      <c r="E10" s="2206" t="s">
        <v>342</v>
      </c>
      <c r="F10" s="2206"/>
      <c r="G10" s="598"/>
      <c r="H10" s="598"/>
      <c r="I10" s="598"/>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596"/>
      <c r="FA10" s="596"/>
      <c r="FB10" s="596"/>
      <c r="FC10" s="596"/>
      <c r="FD10" s="596"/>
      <c r="FE10" s="596"/>
      <c r="FF10" s="596"/>
      <c r="FG10" s="596"/>
      <c r="FH10" s="596"/>
      <c r="FI10" s="596"/>
      <c r="FJ10" s="596"/>
      <c r="FK10" s="596"/>
      <c r="FL10" s="596"/>
      <c r="FM10" s="596"/>
      <c r="FN10" s="596"/>
      <c r="FO10" s="596"/>
      <c r="FP10" s="596"/>
      <c r="FQ10" s="596"/>
      <c r="FR10" s="596"/>
      <c r="FS10" s="596"/>
      <c r="FT10" s="596"/>
      <c r="FU10" s="596"/>
      <c r="FV10" s="596"/>
      <c r="FW10" s="596"/>
      <c r="FX10" s="596"/>
      <c r="FY10" s="596"/>
      <c r="FZ10" s="596"/>
      <c r="GA10" s="596"/>
      <c r="GB10" s="596"/>
      <c r="GC10" s="596"/>
      <c r="GD10" s="596"/>
      <c r="GE10" s="596"/>
      <c r="GF10" s="596"/>
      <c r="GG10" s="596"/>
      <c r="GH10" s="596"/>
      <c r="GI10" s="596"/>
      <c r="GJ10" s="596"/>
      <c r="GK10" s="596"/>
      <c r="GL10" s="596"/>
      <c r="GM10" s="596"/>
      <c r="GN10" s="596"/>
      <c r="GO10" s="596"/>
      <c r="GP10" s="596"/>
      <c r="GQ10" s="596"/>
      <c r="GR10" s="596"/>
      <c r="GS10" s="596"/>
      <c r="GT10" s="596"/>
      <c r="GU10" s="596"/>
      <c r="GV10" s="596"/>
      <c r="GW10" s="596"/>
      <c r="GX10" s="596"/>
      <c r="GY10" s="596"/>
      <c r="GZ10" s="596"/>
      <c r="HA10" s="596"/>
      <c r="HB10" s="596"/>
      <c r="HC10" s="596"/>
      <c r="HD10" s="596"/>
      <c r="HE10" s="596"/>
      <c r="HF10" s="596"/>
      <c r="HG10" s="596"/>
      <c r="HH10" s="596"/>
      <c r="HI10" s="596"/>
      <c r="HJ10" s="596"/>
      <c r="HK10" s="596"/>
      <c r="HL10" s="596"/>
      <c r="HM10" s="596"/>
      <c r="HN10" s="596"/>
      <c r="HO10" s="596"/>
      <c r="HP10" s="596"/>
      <c r="HQ10" s="596"/>
      <c r="HR10" s="596"/>
      <c r="HS10" s="596"/>
      <c r="HT10" s="596"/>
      <c r="HU10" s="596"/>
      <c r="HV10" s="596"/>
      <c r="HW10" s="596"/>
      <c r="HX10" s="596"/>
      <c r="HY10" s="596"/>
      <c r="HZ10" s="596"/>
      <c r="IA10" s="596"/>
      <c r="IB10" s="596"/>
      <c r="IC10" s="596"/>
      <c r="ID10" s="596"/>
      <c r="IE10" s="596"/>
      <c r="IF10" s="596"/>
      <c r="IG10" s="596"/>
      <c r="IH10" s="596"/>
      <c r="II10" s="596"/>
      <c r="IJ10" s="596"/>
      <c r="IK10" s="596"/>
      <c r="IL10" s="596"/>
      <c r="IM10" s="596"/>
      <c r="IN10" s="596"/>
      <c r="IO10" s="596"/>
      <c r="IP10" s="596"/>
      <c r="IQ10" s="596"/>
      <c r="IR10" s="596"/>
      <c r="IS10" s="596"/>
      <c r="IT10" s="596"/>
      <c r="IU10" s="596"/>
      <c r="IV10" s="596"/>
    </row>
    <row r="11" spans="1:256">
      <c r="A11" s="600">
        <v>1</v>
      </c>
      <c r="B11" s="601" t="s">
        <v>878</v>
      </c>
      <c r="C11" s="602"/>
      <c r="D11" s="602"/>
      <c r="E11" s="602" t="s">
        <v>521</v>
      </c>
      <c r="F11" s="598"/>
      <c r="G11" s="596"/>
      <c r="H11" s="443">
        <f>+'OKT WS C-1 ADIT EOY'!H29*0</f>
        <v>0</v>
      </c>
      <c r="I11" s="598"/>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6"/>
      <c r="BZ11" s="596"/>
      <c r="CA11" s="596"/>
      <c r="CB11" s="596"/>
      <c r="CC11" s="596"/>
      <c r="CD11" s="596"/>
      <c r="CE11" s="596"/>
      <c r="CF11" s="596"/>
      <c r="CG11" s="596"/>
      <c r="CH11" s="596"/>
      <c r="CI11" s="596"/>
      <c r="CJ11" s="596"/>
      <c r="CK11" s="596"/>
      <c r="CL11" s="596"/>
      <c r="CM11" s="596"/>
      <c r="CN11" s="596"/>
      <c r="CO11" s="596"/>
      <c r="CP11" s="596"/>
      <c r="CQ11" s="596"/>
      <c r="CR11" s="596"/>
      <c r="CS11" s="596"/>
      <c r="CT11" s="596"/>
      <c r="CU11" s="596"/>
      <c r="CV11" s="596"/>
      <c r="CW11" s="596"/>
      <c r="CX11" s="596"/>
      <c r="CY11" s="596"/>
      <c r="CZ11" s="596"/>
      <c r="DA11" s="596"/>
      <c r="DB11" s="596"/>
      <c r="DC11" s="596"/>
      <c r="DD11" s="596"/>
      <c r="DE11" s="596"/>
      <c r="DF11" s="596"/>
      <c r="DG11" s="596"/>
      <c r="DH11" s="596"/>
      <c r="DI11" s="596"/>
      <c r="DJ11" s="596"/>
      <c r="DK11" s="596"/>
      <c r="DL11" s="596"/>
      <c r="DM11" s="596"/>
      <c r="DN11" s="596"/>
      <c r="DO11" s="596"/>
      <c r="DP11" s="596"/>
      <c r="DQ11" s="596"/>
      <c r="DR11" s="596"/>
      <c r="DS11" s="596"/>
      <c r="DT11" s="596"/>
      <c r="DU11" s="596"/>
      <c r="DV11" s="596"/>
      <c r="DW11" s="596"/>
      <c r="DX11" s="596"/>
      <c r="DY11" s="596"/>
      <c r="DZ11" s="596"/>
      <c r="EA11" s="596"/>
      <c r="EB11" s="596"/>
      <c r="EC11" s="596"/>
      <c r="ED11" s="596"/>
      <c r="EE11" s="596"/>
      <c r="EF11" s="596"/>
      <c r="EG11" s="596"/>
      <c r="EH11" s="596"/>
      <c r="EI11" s="596"/>
      <c r="EJ11" s="596"/>
      <c r="EK11" s="596"/>
      <c r="EL11" s="596"/>
      <c r="EM11" s="596"/>
      <c r="EN11" s="596"/>
      <c r="EO11" s="596"/>
      <c r="EP11" s="596"/>
      <c r="EQ11" s="596"/>
      <c r="ER11" s="596"/>
      <c r="ES11" s="596"/>
      <c r="ET11" s="596"/>
      <c r="EU11" s="596"/>
      <c r="EV11" s="596"/>
      <c r="EW11" s="596"/>
      <c r="EX11" s="596"/>
      <c r="EY11" s="596"/>
      <c r="EZ11" s="596"/>
      <c r="FA11" s="596"/>
      <c r="FB11" s="596"/>
      <c r="FC11" s="596"/>
      <c r="FD11" s="596"/>
      <c r="FE11" s="596"/>
      <c r="FF11" s="596"/>
      <c r="FG11" s="596"/>
      <c r="FH11" s="596"/>
      <c r="FI11" s="596"/>
      <c r="FJ11" s="596"/>
      <c r="FK11" s="596"/>
      <c r="FL11" s="596"/>
      <c r="FM11" s="596"/>
      <c r="FN11" s="596"/>
      <c r="FO11" s="596"/>
      <c r="FP11" s="596"/>
      <c r="FQ11" s="596"/>
      <c r="FR11" s="596"/>
      <c r="FS11" s="596"/>
      <c r="FT11" s="596"/>
      <c r="FU11" s="596"/>
      <c r="FV11" s="596"/>
      <c r="FW11" s="596"/>
      <c r="FX11" s="596"/>
      <c r="FY11" s="596"/>
      <c r="FZ11" s="596"/>
      <c r="GA11" s="596"/>
      <c r="GB11" s="596"/>
      <c r="GC11" s="596"/>
      <c r="GD11" s="596"/>
      <c r="GE11" s="596"/>
      <c r="GF11" s="596"/>
      <c r="GG11" s="596"/>
      <c r="GH11" s="596"/>
      <c r="GI11" s="596"/>
      <c r="GJ11" s="596"/>
      <c r="GK11" s="596"/>
      <c r="GL11" s="596"/>
      <c r="GM11" s="596"/>
      <c r="GN11" s="596"/>
      <c r="GO11" s="596"/>
      <c r="GP11" s="596"/>
      <c r="GQ11" s="596"/>
      <c r="GR11" s="596"/>
      <c r="GS11" s="596"/>
      <c r="GT11" s="596"/>
      <c r="GU11" s="596"/>
      <c r="GV11" s="596"/>
      <c r="GW11" s="596"/>
      <c r="GX11" s="596"/>
      <c r="GY11" s="596"/>
      <c r="GZ11" s="596"/>
      <c r="HA11" s="596"/>
      <c r="HB11" s="596"/>
      <c r="HC11" s="596"/>
      <c r="HD11" s="596"/>
      <c r="HE11" s="596"/>
      <c r="HF11" s="596"/>
      <c r="HG11" s="596"/>
      <c r="HH11" s="596"/>
      <c r="HI11" s="596"/>
      <c r="HJ11" s="596"/>
      <c r="HK11" s="596"/>
      <c r="HL11" s="596"/>
      <c r="HM11" s="596"/>
      <c r="HN11" s="596"/>
      <c r="HO11" s="596"/>
      <c r="HP11" s="596"/>
      <c r="HQ11" s="596"/>
      <c r="HR11" s="596"/>
      <c r="HS11" s="596"/>
      <c r="HT11" s="596"/>
      <c r="HU11" s="596"/>
      <c r="HV11" s="596"/>
      <c r="HW11" s="596"/>
      <c r="HX11" s="596"/>
      <c r="HY11" s="596"/>
      <c r="HZ11" s="596"/>
      <c r="IA11" s="596"/>
      <c r="IB11" s="596"/>
      <c r="IC11" s="596"/>
      <c r="ID11" s="596"/>
      <c r="IE11" s="596"/>
      <c r="IF11" s="596"/>
      <c r="IG11" s="596"/>
      <c r="IH11" s="596"/>
      <c r="II11" s="596"/>
      <c r="IJ11" s="596"/>
      <c r="IK11" s="596"/>
      <c r="IL11" s="596"/>
      <c r="IM11" s="596"/>
      <c r="IN11" s="596"/>
      <c r="IO11" s="596"/>
      <c r="IP11" s="596"/>
      <c r="IQ11" s="596"/>
      <c r="IR11" s="596"/>
      <c r="IS11" s="596"/>
      <c r="IT11" s="596"/>
      <c r="IU11" s="596"/>
      <c r="IV11" s="596"/>
    </row>
    <row r="12" spans="1:256">
      <c r="A12" s="600">
        <f>+A11+1</f>
        <v>2</v>
      </c>
      <c r="B12" s="601" t="s">
        <v>879</v>
      </c>
      <c r="C12" s="602"/>
      <c r="D12" s="602"/>
      <c r="E12" s="602" t="s">
        <v>522</v>
      </c>
      <c r="F12" s="598"/>
      <c r="G12" s="596"/>
      <c r="H12" s="443">
        <f>+'OKT WS C-2 ADIT BOY'!H2585</f>
        <v>0</v>
      </c>
      <c r="I12" s="598"/>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6"/>
      <c r="BZ12" s="596"/>
      <c r="CA12" s="596"/>
      <c r="CB12" s="596"/>
      <c r="CC12" s="596"/>
      <c r="CD12" s="596"/>
      <c r="CE12" s="596"/>
      <c r="CF12" s="596"/>
      <c r="CG12" s="596"/>
      <c r="CH12" s="596"/>
      <c r="CI12" s="596"/>
      <c r="CJ12" s="596"/>
      <c r="CK12" s="596"/>
      <c r="CL12" s="596"/>
      <c r="CM12" s="596"/>
      <c r="CN12" s="596"/>
      <c r="CO12" s="596"/>
      <c r="CP12" s="596"/>
      <c r="CQ12" s="596"/>
      <c r="CR12" s="596"/>
      <c r="CS12" s="596"/>
      <c r="CT12" s="596"/>
      <c r="CU12" s="596"/>
      <c r="CV12" s="596"/>
      <c r="CW12" s="596"/>
      <c r="CX12" s="596"/>
      <c r="CY12" s="596"/>
      <c r="CZ12" s="596"/>
      <c r="DA12" s="596"/>
      <c r="DB12" s="596"/>
      <c r="DC12" s="596"/>
      <c r="DD12" s="596"/>
      <c r="DE12" s="596"/>
      <c r="DF12" s="596"/>
      <c r="DG12" s="596"/>
      <c r="DH12" s="596"/>
      <c r="DI12" s="596"/>
      <c r="DJ12" s="596"/>
      <c r="DK12" s="596"/>
      <c r="DL12" s="596"/>
      <c r="DM12" s="596"/>
      <c r="DN12" s="596"/>
      <c r="DO12" s="596"/>
      <c r="DP12" s="596"/>
      <c r="DQ12" s="596"/>
      <c r="DR12" s="596"/>
      <c r="DS12" s="596"/>
      <c r="DT12" s="596"/>
      <c r="DU12" s="596"/>
      <c r="DV12" s="596"/>
      <c r="DW12" s="596"/>
      <c r="DX12" s="596"/>
      <c r="DY12" s="596"/>
      <c r="DZ12" s="596"/>
      <c r="EA12" s="596"/>
      <c r="EB12" s="596"/>
      <c r="EC12" s="596"/>
      <c r="ED12" s="596"/>
      <c r="EE12" s="596"/>
      <c r="EF12" s="596"/>
      <c r="EG12" s="596"/>
      <c r="EH12" s="596"/>
      <c r="EI12" s="596"/>
      <c r="EJ12" s="596"/>
      <c r="EK12" s="596"/>
      <c r="EL12" s="596"/>
      <c r="EM12" s="596"/>
      <c r="EN12" s="596"/>
      <c r="EO12" s="596"/>
      <c r="EP12" s="596"/>
      <c r="EQ12" s="596"/>
      <c r="ER12" s="596"/>
      <c r="ES12" s="596"/>
      <c r="ET12" s="596"/>
      <c r="EU12" s="596"/>
      <c r="EV12" s="596"/>
      <c r="EW12" s="596"/>
      <c r="EX12" s="596"/>
      <c r="EY12" s="596"/>
      <c r="EZ12" s="596"/>
      <c r="FA12" s="596"/>
      <c r="FB12" s="596"/>
      <c r="FC12" s="596"/>
      <c r="FD12" s="596"/>
      <c r="FE12" s="596"/>
      <c r="FF12" s="596"/>
      <c r="FG12" s="596"/>
      <c r="FH12" s="596"/>
      <c r="FI12" s="596"/>
      <c r="FJ12" s="596"/>
      <c r="FK12" s="596"/>
      <c r="FL12" s="596"/>
      <c r="FM12" s="596"/>
      <c r="FN12" s="596"/>
      <c r="FO12" s="596"/>
      <c r="FP12" s="596"/>
      <c r="FQ12" s="596"/>
      <c r="FR12" s="596"/>
      <c r="FS12" s="596"/>
      <c r="FT12" s="596"/>
      <c r="FU12" s="596"/>
      <c r="FV12" s="596"/>
      <c r="FW12" s="596"/>
      <c r="FX12" s="596"/>
      <c r="FY12" s="596"/>
      <c r="FZ12" s="596"/>
      <c r="GA12" s="596"/>
      <c r="GB12" s="596"/>
      <c r="GC12" s="596"/>
      <c r="GD12" s="596"/>
      <c r="GE12" s="596"/>
      <c r="GF12" s="596"/>
      <c r="GG12" s="596"/>
      <c r="GH12" s="596"/>
      <c r="GI12" s="596"/>
      <c r="GJ12" s="596"/>
      <c r="GK12" s="596"/>
      <c r="GL12" s="596"/>
      <c r="GM12" s="596"/>
      <c r="GN12" s="596"/>
      <c r="GO12" s="596"/>
      <c r="GP12" s="596"/>
      <c r="GQ12" s="596"/>
      <c r="GR12" s="596"/>
      <c r="GS12" s="596"/>
      <c r="GT12" s="596"/>
      <c r="GU12" s="596"/>
      <c r="GV12" s="596"/>
      <c r="GW12" s="596"/>
      <c r="GX12" s="596"/>
      <c r="GY12" s="596"/>
      <c r="GZ12" s="596"/>
      <c r="HA12" s="596"/>
      <c r="HB12" s="596"/>
      <c r="HC12" s="596"/>
      <c r="HD12" s="596"/>
      <c r="HE12" s="596"/>
      <c r="HF12" s="596"/>
      <c r="HG12" s="596"/>
      <c r="HH12" s="596"/>
      <c r="HI12" s="596"/>
      <c r="HJ12" s="596"/>
      <c r="HK12" s="596"/>
      <c r="HL12" s="596"/>
      <c r="HM12" s="596"/>
      <c r="HN12" s="596"/>
      <c r="HO12" s="596"/>
      <c r="HP12" s="596"/>
      <c r="HQ12" s="596"/>
      <c r="HR12" s="596"/>
      <c r="HS12" s="596"/>
      <c r="HT12" s="596"/>
      <c r="HU12" s="596"/>
      <c r="HV12" s="596"/>
      <c r="HW12" s="596"/>
      <c r="HX12" s="596"/>
      <c r="HY12" s="596"/>
      <c r="HZ12" s="596"/>
      <c r="IA12" s="596"/>
      <c r="IB12" s="596"/>
      <c r="IC12" s="596"/>
      <c r="ID12" s="596"/>
      <c r="IE12" s="596"/>
      <c r="IF12" s="596"/>
      <c r="IG12" s="596"/>
      <c r="IH12" s="596"/>
      <c r="II12" s="596"/>
      <c r="IJ12" s="596"/>
      <c r="IK12" s="596"/>
      <c r="IL12" s="596"/>
      <c r="IM12" s="596"/>
      <c r="IN12" s="596"/>
      <c r="IO12" s="596"/>
      <c r="IP12" s="596"/>
      <c r="IQ12" s="596"/>
      <c r="IR12" s="596"/>
      <c r="IS12" s="596"/>
      <c r="IT12" s="596"/>
      <c r="IU12" s="596"/>
      <c r="IV12" s="596"/>
    </row>
    <row r="13" spans="1:256">
      <c r="A13" s="600">
        <f>+A12+1</f>
        <v>3</v>
      </c>
      <c r="B13" s="602" t="s">
        <v>505</v>
      </c>
      <c r="C13" s="602"/>
      <c r="D13" s="602"/>
      <c r="E13" s="602" t="str">
        <f>"Line "&amp;A11&amp;" less Line "&amp;A12</f>
        <v>Line 1 less Line 2</v>
      </c>
      <c r="F13" s="598"/>
      <c r="G13" s="596"/>
      <c r="H13" s="603">
        <f>+H11-H12</f>
        <v>0</v>
      </c>
      <c r="I13" s="598"/>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6"/>
      <c r="BZ13" s="596"/>
      <c r="CA13" s="596"/>
      <c r="CB13" s="596"/>
      <c r="CC13" s="596"/>
      <c r="CD13" s="596"/>
      <c r="CE13" s="596"/>
      <c r="CF13" s="596"/>
      <c r="CG13" s="596"/>
      <c r="CH13" s="596"/>
      <c r="CI13" s="596"/>
      <c r="CJ13" s="596"/>
      <c r="CK13" s="596"/>
      <c r="CL13" s="596"/>
      <c r="CM13" s="596"/>
      <c r="CN13" s="596"/>
      <c r="CO13" s="596"/>
      <c r="CP13" s="596"/>
      <c r="CQ13" s="596"/>
      <c r="CR13" s="596"/>
      <c r="CS13" s="596"/>
      <c r="CT13" s="596"/>
      <c r="CU13" s="596"/>
      <c r="CV13" s="596"/>
      <c r="CW13" s="596"/>
      <c r="CX13" s="596"/>
      <c r="CY13" s="596"/>
      <c r="CZ13" s="596"/>
      <c r="DA13" s="596"/>
      <c r="DB13" s="596"/>
      <c r="DC13" s="596"/>
      <c r="DD13" s="596"/>
      <c r="DE13" s="596"/>
      <c r="DF13" s="596"/>
      <c r="DG13" s="596"/>
      <c r="DH13" s="596"/>
      <c r="DI13" s="596"/>
      <c r="DJ13" s="596"/>
      <c r="DK13" s="596"/>
      <c r="DL13" s="596"/>
      <c r="DM13" s="596"/>
      <c r="DN13" s="596"/>
      <c r="DO13" s="596"/>
      <c r="DP13" s="596"/>
      <c r="DQ13" s="596"/>
      <c r="DR13" s="596"/>
      <c r="DS13" s="596"/>
      <c r="DT13" s="596"/>
      <c r="DU13" s="596"/>
      <c r="DV13" s="596"/>
      <c r="DW13" s="596"/>
      <c r="DX13" s="596"/>
      <c r="DY13" s="596"/>
      <c r="DZ13" s="596"/>
      <c r="EA13" s="596"/>
      <c r="EB13" s="596"/>
      <c r="EC13" s="596"/>
      <c r="ED13" s="596"/>
      <c r="EE13" s="596"/>
      <c r="EF13" s="596"/>
      <c r="EG13" s="596"/>
      <c r="EH13" s="596"/>
      <c r="EI13" s="596"/>
      <c r="EJ13" s="596"/>
      <c r="EK13" s="596"/>
      <c r="EL13" s="596"/>
      <c r="EM13" s="596"/>
      <c r="EN13" s="596"/>
      <c r="EO13" s="596"/>
      <c r="EP13" s="596"/>
      <c r="EQ13" s="596"/>
      <c r="ER13" s="596"/>
      <c r="ES13" s="596"/>
      <c r="ET13" s="596"/>
      <c r="EU13" s="596"/>
      <c r="EV13" s="596"/>
      <c r="EW13" s="596"/>
      <c r="EX13" s="596"/>
      <c r="EY13" s="596"/>
      <c r="EZ13" s="596"/>
      <c r="FA13" s="596"/>
      <c r="FB13" s="596"/>
      <c r="FC13" s="596"/>
      <c r="FD13" s="596"/>
      <c r="FE13" s="596"/>
      <c r="FF13" s="596"/>
      <c r="FG13" s="596"/>
      <c r="FH13" s="596"/>
      <c r="FI13" s="596"/>
      <c r="FJ13" s="596"/>
      <c r="FK13" s="596"/>
      <c r="FL13" s="596"/>
      <c r="FM13" s="596"/>
      <c r="FN13" s="596"/>
      <c r="FO13" s="596"/>
      <c r="FP13" s="596"/>
      <c r="FQ13" s="596"/>
      <c r="FR13" s="596"/>
      <c r="FS13" s="596"/>
      <c r="FT13" s="596"/>
      <c r="FU13" s="596"/>
      <c r="FV13" s="596"/>
      <c r="FW13" s="596"/>
      <c r="FX13" s="596"/>
      <c r="FY13" s="596"/>
      <c r="FZ13" s="596"/>
      <c r="GA13" s="596"/>
      <c r="GB13" s="596"/>
      <c r="GC13" s="596"/>
      <c r="GD13" s="596"/>
      <c r="GE13" s="596"/>
      <c r="GF13" s="596"/>
      <c r="GG13" s="596"/>
      <c r="GH13" s="596"/>
      <c r="GI13" s="596"/>
      <c r="GJ13" s="596"/>
      <c r="GK13" s="596"/>
      <c r="GL13" s="596"/>
      <c r="GM13" s="596"/>
      <c r="GN13" s="596"/>
      <c r="GO13" s="596"/>
      <c r="GP13" s="596"/>
      <c r="GQ13" s="596"/>
      <c r="GR13" s="596"/>
      <c r="GS13" s="596"/>
      <c r="GT13" s="596"/>
      <c r="GU13" s="596"/>
      <c r="GV13" s="596"/>
      <c r="GW13" s="596"/>
      <c r="GX13" s="596"/>
      <c r="GY13" s="596"/>
      <c r="GZ13" s="596"/>
      <c r="HA13" s="596"/>
      <c r="HB13" s="596"/>
      <c r="HC13" s="596"/>
      <c r="HD13" s="596"/>
      <c r="HE13" s="596"/>
      <c r="HF13" s="596"/>
      <c r="HG13" s="596"/>
      <c r="HH13" s="596"/>
      <c r="HI13" s="596"/>
      <c r="HJ13" s="596"/>
      <c r="HK13" s="596"/>
      <c r="HL13" s="596"/>
      <c r="HM13" s="596"/>
      <c r="HN13" s="596"/>
      <c r="HO13" s="596"/>
      <c r="HP13" s="596"/>
      <c r="HQ13" s="596"/>
      <c r="HR13" s="596"/>
      <c r="HS13" s="596"/>
      <c r="HT13" s="596"/>
      <c r="HU13" s="596"/>
      <c r="HV13" s="596"/>
      <c r="HW13" s="596"/>
      <c r="HX13" s="596"/>
      <c r="HY13" s="596"/>
      <c r="HZ13" s="596"/>
      <c r="IA13" s="596"/>
      <c r="IB13" s="596"/>
      <c r="IC13" s="596"/>
      <c r="ID13" s="596"/>
      <c r="IE13" s="596"/>
      <c r="IF13" s="596"/>
      <c r="IG13" s="596"/>
      <c r="IH13" s="596"/>
      <c r="II13" s="596"/>
      <c r="IJ13" s="596"/>
      <c r="IK13" s="596"/>
      <c r="IL13" s="596"/>
      <c r="IM13" s="596"/>
      <c r="IN13" s="596"/>
      <c r="IO13" s="596"/>
      <c r="IP13" s="596"/>
      <c r="IQ13" s="596"/>
      <c r="IR13" s="596"/>
      <c r="IS13" s="596"/>
      <c r="IT13" s="596"/>
      <c r="IU13" s="596"/>
      <c r="IV13" s="596"/>
    </row>
    <row r="14" spans="1:256">
      <c r="A14" s="600">
        <f>+A13+1</f>
        <v>4</v>
      </c>
      <c r="B14" s="602" t="s">
        <v>506</v>
      </c>
      <c r="C14" s="602"/>
      <c r="D14" s="602"/>
      <c r="E14" s="602" t="str">
        <f>"Line "&amp;A13&amp;" / 12"</f>
        <v>Line 3 / 12</v>
      </c>
      <c r="F14" s="598"/>
      <c r="G14" s="596"/>
      <c r="H14" s="604">
        <f>+H13/12</f>
        <v>0</v>
      </c>
      <c r="I14" s="598"/>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6"/>
      <c r="CE14" s="596"/>
      <c r="CF14" s="596"/>
      <c r="CG14" s="596"/>
      <c r="CH14" s="596"/>
      <c r="CI14" s="596"/>
      <c r="CJ14" s="596"/>
      <c r="CK14" s="596"/>
      <c r="CL14" s="596"/>
      <c r="CM14" s="596"/>
      <c r="CN14" s="596"/>
      <c r="CO14" s="596"/>
      <c r="CP14" s="596"/>
      <c r="CQ14" s="596"/>
      <c r="CR14" s="596"/>
      <c r="CS14" s="596"/>
      <c r="CT14" s="596"/>
      <c r="CU14" s="596"/>
      <c r="CV14" s="596"/>
      <c r="CW14" s="596"/>
      <c r="CX14" s="596"/>
      <c r="CY14" s="596"/>
      <c r="CZ14" s="596"/>
      <c r="DA14" s="596"/>
      <c r="DB14" s="596"/>
      <c r="DC14" s="596"/>
      <c r="DD14" s="596"/>
      <c r="DE14" s="596"/>
      <c r="DF14" s="596"/>
      <c r="DG14" s="596"/>
      <c r="DH14" s="596"/>
      <c r="DI14" s="596"/>
      <c r="DJ14" s="596"/>
      <c r="DK14" s="596"/>
      <c r="DL14" s="596"/>
      <c r="DM14" s="596"/>
      <c r="DN14" s="596"/>
      <c r="DO14" s="596"/>
      <c r="DP14" s="596"/>
      <c r="DQ14" s="596"/>
      <c r="DR14" s="596"/>
      <c r="DS14" s="596"/>
      <c r="DT14" s="596"/>
      <c r="DU14" s="596"/>
      <c r="DV14" s="596"/>
      <c r="DW14" s="596"/>
      <c r="DX14" s="596"/>
      <c r="DY14" s="596"/>
      <c r="DZ14" s="596"/>
      <c r="EA14" s="596"/>
      <c r="EB14" s="596"/>
      <c r="EC14" s="596"/>
      <c r="ED14" s="596"/>
      <c r="EE14" s="596"/>
      <c r="EF14" s="596"/>
      <c r="EG14" s="596"/>
      <c r="EH14" s="596"/>
      <c r="EI14" s="596"/>
      <c r="EJ14" s="596"/>
      <c r="EK14" s="596"/>
      <c r="EL14" s="596"/>
      <c r="EM14" s="596"/>
      <c r="EN14" s="596"/>
      <c r="EO14" s="596"/>
      <c r="EP14" s="596"/>
      <c r="EQ14" s="596"/>
      <c r="ER14" s="596"/>
      <c r="ES14" s="596"/>
      <c r="ET14" s="596"/>
      <c r="EU14" s="596"/>
      <c r="EV14" s="596"/>
      <c r="EW14" s="596"/>
      <c r="EX14" s="596"/>
      <c r="EY14" s="596"/>
      <c r="EZ14" s="596"/>
      <c r="FA14" s="596"/>
      <c r="FB14" s="596"/>
      <c r="FC14" s="596"/>
      <c r="FD14" s="596"/>
      <c r="FE14" s="596"/>
      <c r="FF14" s="596"/>
      <c r="FG14" s="596"/>
      <c r="FH14" s="596"/>
      <c r="FI14" s="596"/>
      <c r="FJ14" s="596"/>
      <c r="FK14" s="596"/>
      <c r="FL14" s="596"/>
      <c r="FM14" s="596"/>
      <c r="FN14" s="596"/>
      <c r="FO14" s="596"/>
      <c r="FP14" s="596"/>
      <c r="FQ14" s="596"/>
      <c r="FR14" s="596"/>
      <c r="FS14" s="596"/>
      <c r="FT14" s="596"/>
      <c r="FU14" s="596"/>
      <c r="FV14" s="596"/>
      <c r="FW14" s="596"/>
      <c r="FX14" s="596"/>
      <c r="FY14" s="596"/>
      <c r="FZ14" s="596"/>
      <c r="GA14" s="596"/>
      <c r="GB14" s="596"/>
      <c r="GC14" s="596"/>
      <c r="GD14" s="596"/>
      <c r="GE14" s="596"/>
      <c r="GF14" s="596"/>
      <c r="GG14" s="596"/>
      <c r="GH14" s="596"/>
      <c r="GI14" s="596"/>
      <c r="GJ14" s="596"/>
      <c r="GK14" s="596"/>
      <c r="GL14" s="596"/>
      <c r="GM14" s="596"/>
      <c r="GN14" s="596"/>
      <c r="GO14" s="596"/>
      <c r="GP14" s="596"/>
      <c r="GQ14" s="596"/>
      <c r="GR14" s="596"/>
      <c r="GS14" s="596"/>
      <c r="GT14" s="596"/>
      <c r="GU14" s="596"/>
      <c r="GV14" s="596"/>
      <c r="GW14" s="596"/>
      <c r="GX14" s="596"/>
      <c r="GY14" s="596"/>
      <c r="GZ14" s="596"/>
      <c r="HA14" s="596"/>
      <c r="HB14" s="596"/>
      <c r="HC14" s="596"/>
      <c r="HD14" s="596"/>
      <c r="HE14" s="596"/>
      <c r="HF14" s="596"/>
      <c r="HG14" s="596"/>
      <c r="HH14" s="596"/>
      <c r="HI14" s="596"/>
      <c r="HJ14" s="596"/>
      <c r="HK14" s="596"/>
      <c r="HL14" s="596"/>
      <c r="HM14" s="596"/>
      <c r="HN14" s="596"/>
      <c r="HO14" s="596"/>
      <c r="HP14" s="596"/>
      <c r="HQ14" s="596"/>
      <c r="HR14" s="596"/>
      <c r="HS14" s="596"/>
      <c r="HT14" s="596"/>
      <c r="HU14" s="596"/>
      <c r="HV14" s="596"/>
      <c r="HW14" s="596"/>
      <c r="HX14" s="596"/>
      <c r="HY14" s="596"/>
      <c r="HZ14" s="596"/>
      <c r="IA14" s="596"/>
      <c r="IB14" s="596"/>
      <c r="IC14" s="596"/>
      <c r="ID14" s="596"/>
      <c r="IE14" s="596"/>
      <c r="IF14" s="596"/>
      <c r="IG14" s="596"/>
      <c r="IH14" s="596"/>
      <c r="II14" s="596"/>
      <c r="IJ14" s="596"/>
      <c r="IK14" s="596"/>
      <c r="IL14" s="596"/>
      <c r="IM14" s="596"/>
      <c r="IN14" s="596"/>
      <c r="IO14" s="596"/>
      <c r="IP14" s="596"/>
      <c r="IQ14" s="596"/>
      <c r="IR14" s="596"/>
      <c r="IS14" s="596"/>
      <c r="IT14" s="596"/>
      <c r="IU14" s="596"/>
      <c r="IV14" s="596"/>
    </row>
    <row r="15" spans="1:256">
      <c r="A15" s="602"/>
      <c r="B15" s="602"/>
      <c r="C15" s="602"/>
      <c r="D15" s="602"/>
      <c r="E15" s="598"/>
      <c r="F15" s="598"/>
      <c r="G15" s="598"/>
      <c r="H15" s="598"/>
      <c r="I15" s="598"/>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6"/>
      <c r="BT15" s="596"/>
      <c r="BU15" s="596"/>
      <c r="BV15" s="596"/>
      <c r="BW15" s="596"/>
      <c r="BX15" s="596"/>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c r="CV15" s="596"/>
      <c r="CW15" s="596"/>
      <c r="CX15" s="596"/>
      <c r="CY15" s="596"/>
      <c r="CZ15" s="596"/>
      <c r="DA15" s="596"/>
      <c r="DB15" s="596"/>
      <c r="DC15" s="596"/>
      <c r="DD15" s="596"/>
      <c r="DE15" s="596"/>
      <c r="DF15" s="596"/>
      <c r="DG15" s="596"/>
      <c r="DH15" s="596"/>
      <c r="DI15" s="596"/>
      <c r="DJ15" s="596"/>
      <c r="DK15" s="596"/>
      <c r="DL15" s="596"/>
      <c r="DM15" s="596"/>
      <c r="DN15" s="596"/>
      <c r="DO15" s="596"/>
      <c r="DP15" s="596"/>
      <c r="DQ15" s="596"/>
      <c r="DR15" s="596"/>
      <c r="DS15" s="596"/>
      <c r="DT15" s="596"/>
      <c r="DU15" s="596"/>
      <c r="DV15" s="596"/>
      <c r="DW15" s="596"/>
      <c r="DX15" s="596"/>
      <c r="DY15" s="596"/>
      <c r="DZ15" s="596"/>
      <c r="EA15" s="596"/>
      <c r="EB15" s="596"/>
      <c r="EC15" s="596"/>
      <c r="ED15" s="596"/>
      <c r="EE15" s="596"/>
      <c r="EF15" s="596"/>
      <c r="EG15" s="596"/>
      <c r="EH15" s="596"/>
      <c r="EI15" s="596"/>
      <c r="EJ15" s="596"/>
      <c r="EK15" s="596"/>
      <c r="EL15" s="596"/>
      <c r="EM15" s="596"/>
      <c r="EN15" s="596"/>
      <c r="EO15" s="596"/>
      <c r="EP15" s="596"/>
      <c r="EQ15" s="596"/>
      <c r="ER15" s="596"/>
      <c r="ES15" s="596"/>
      <c r="ET15" s="596"/>
      <c r="EU15" s="596"/>
      <c r="EV15" s="596"/>
      <c r="EW15" s="596"/>
      <c r="EX15" s="596"/>
      <c r="EY15" s="596"/>
      <c r="EZ15" s="596"/>
      <c r="FA15" s="596"/>
      <c r="FB15" s="596"/>
      <c r="FC15" s="596"/>
      <c r="FD15" s="596"/>
      <c r="FE15" s="596"/>
      <c r="FF15" s="596"/>
      <c r="FG15" s="596"/>
      <c r="FH15" s="596"/>
      <c r="FI15" s="596"/>
      <c r="FJ15" s="596"/>
      <c r="FK15" s="596"/>
      <c r="FL15" s="596"/>
      <c r="FM15" s="596"/>
      <c r="FN15" s="596"/>
      <c r="FO15" s="596"/>
      <c r="FP15" s="596"/>
      <c r="FQ15" s="596"/>
      <c r="FR15" s="596"/>
      <c r="FS15" s="596"/>
      <c r="FT15" s="596"/>
      <c r="FU15" s="596"/>
      <c r="FV15" s="596"/>
      <c r="FW15" s="596"/>
      <c r="FX15" s="596"/>
      <c r="FY15" s="596"/>
      <c r="FZ15" s="596"/>
      <c r="GA15" s="596"/>
      <c r="GB15" s="596"/>
      <c r="GC15" s="596"/>
      <c r="GD15" s="596"/>
      <c r="GE15" s="596"/>
      <c r="GF15" s="596"/>
      <c r="GG15" s="596"/>
      <c r="GH15" s="596"/>
      <c r="GI15" s="596"/>
      <c r="GJ15" s="596"/>
      <c r="GK15" s="596"/>
      <c r="GL15" s="596"/>
      <c r="GM15" s="596"/>
      <c r="GN15" s="596"/>
      <c r="GO15" s="596"/>
      <c r="GP15" s="596"/>
      <c r="GQ15" s="596"/>
      <c r="GR15" s="596"/>
      <c r="GS15" s="596"/>
      <c r="GT15" s="596"/>
      <c r="GU15" s="596"/>
      <c r="GV15" s="596"/>
      <c r="GW15" s="596"/>
      <c r="GX15" s="596"/>
      <c r="GY15" s="596"/>
      <c r="GZ15" s="596"/>
      <c r="HA15" s="596"/>
      <c r="HB15" s="596"/>
      <c r="HC15" s="596"/>
      <c r="HD15" s="596"/>
      <c r="HE15" s="596"/>
      <c r="HF15" s="596"/>
      <c r="HG15" s="596"/>
      <c r="HH15" s="596"/>
      <c r="HI15" s="596"/>
      <c r="HJ15" s="596"/>
      <c r="HK15" s="596"/>
      <c r="HL15" s="596"/>
      <c r="HM15" s="596"/>
      <c r="HN15" s="596"/>
      <c r="HO15" s="596"/>
      <c r="HP15" s="596"/>
      <c r="HQ15" s="596"/>
      <c r="HR15" s="596"/>
      <c r="HS15" s="596"/>
      <c r="HT15" s="596"/>
      <c r="HU15" s="596"/>
      <c r="HV15" s="596"/>
      <c r="HW15" s="596"/>
      <c r="HX15" s="596"/>
      <c r="HY15" s="596"/>
      <c r="HZ15" s="596"/>
      <c r="IA15" s="596"/>
      <c r="IB15" s="596"/>
      <c r="IC15" s="596"/>
      <c r="ID15" s="596"/>
      <c r="IE15" s="596"/>
      <c r="IF15" s="596"/>
      <c r="IG15" s="596"/>
      <c r="IH15" s="596"/>
      <c r="II15" s="596"/>
      <c r="IJ15" s="596"/>
      <c r="IK15" s="596"/>
      <c r="IL15" s="596"/>
      <c r="IM15" s="596"/>
      <c r="IN15" s="596"/>
      <c r="IO15" s="596"/>
      <c r="IP15" s="596"/>
      <c r="IQ15" s="596"/>
      <c r="IR15" s="596"/>
      <c r="IS15" s="596"/>
      <c r="IT15" s="596"/>
      <c r="IU15" s="596"/>
      <c r="IV15" s="596"/>
    </row>
    <row r="16" spans="1:256" ht="15.75">
      <c r="A16" s="596"/>
      <c r="B16" s="605" t="s">
        <v>298</v>
      </c>
      <c r="C16" s="605" t="s">
        <v>299</v>
      </c>
      <c r="D16" s="605" t="s">
        <v>47</v>
      </c>
      <c r="E16" s="605" t="s">
        <v>301</v>
      </c>
      <c r="F16" s="605" t="s">
        <v>226</v>
      </c>
      <c r="G16" s="605" t="s">
        <v>227</v>
      </c>
      <c r="H16" s="605" t="s">
        <v>228</v>
      </c>
      <c r="I16" s="605" t="s">
        <v>233</v>
      </c>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c r="CV16" s="596"/>
      <c r="CW16" s="596"/>
      <c r="CX16" s="596"/>
      <c r="CY16" s="596"/>
      <c r="CZ16" s="596"/>
      <c r="DA16" s="596"/>
      <c r="DB16" s="596"/>
      <c r="DC16" s="596"/>
      <c r="DD16" s="596"/>
      <c r="DE16" s="596"/>
      <c r="DF16" s="596"/>
      <c r="DG16" s="596"/>
      <c r="DH16" s="596"/>
      <c r="DI16" s="596"/>
      <c r="DJ16" s="596"/>
      <c r="DK16" s="596"/>
      <c r="DL16" s="596"/>
      <c r="DM16" s="596"/>
      <c r="DN16" s="596"/>
      <c r="DO16" s="596"/>
      <c r="DP16" s="596"/>
      <c r="DQ16" s="596"/>
      <c r="DR16" s="596"/>
      <c r="DS16" s="596"/>
      <c r="DT16" s="596"/>
      <c r="DU16" s="596"/>
      <c r="DV16" s="596"/>
      <c r="DW16" s="596"/>
      <c r="DX16" s="596"/>
      <c r="DY16" s="596"/>
      <c r="DZ16" s="596"/>
      <c r="EA16" s="596"/>
      <c r="EB16" s="596"/>
      <c r="EC16" s="596"/>
      <c r="ED16" s="596"/>
      <c r="EE16" s="596"/>
      <c r="EF16" s="596"/>
      <c r="EG16" s="596"/>
      <c r="EH16" s="596"/>
      <c r="EI16" s="596"/>
      <c r="EJ16" s="596"/>
      <c r="EK16" s="596"/>
      <c r="EL16" s="596"/>
      <c r="EM16" s="596"/>
      <c r="EN16" s="596"/>
      <c r="EO16" s="596"/>
      <c r="EP16" s="596"/>
      <c r="EQ16" s="596"/>
      <c r="ER16" s="596"/>
      <c r="ES16" s="596"/>
      <c r="ET16" s="596"/>
      <c r="EU16" s="596"/>
      <c r="EV16" s="596"/>
      <c r="EW16" s="596"/>
      <c r="EX16" s="596"/>
      <c r="EY16" s="596"/>
      <c r="EZ16" s="596"/>
      <c r="FA16" s="596"/>
      <c r="FB16" s="596"/>
      <c r="FC16" s="596"/>
      <c r="FD16" s="596"/>
      <c r="FE16" s="596"/>
      <c r="FF16" s="596"/>
      <c r="FG16" s="596"/>
      <c r="FH16" s="596"/>
      <c r="FI16" s="596"/>
      <c r="FJ16" s="596"/>
      <c r="FK16" s="596"/>
      <c r="FL16" s="596"/>
      <c r="FM16" s="596"/>
      <c r="FN16" s="596"/>
      <c r="FO16" s="596"/>
      <c r="FP16" s="596"/>
      <c r="FQ16" s="596"/>
      <c r="FR16" s="596"/>
      <c r="FS16" s="596"/>
      <c r="FT16" s="596"/>
      <c r="FU16" s="596"/>
      <c r="FV16" s="596"/>
      <c r="FW16" s="596"/>
      <c r="FX16" s="596"/>
      <c r="FY16" s="596"/>
      <c r="FZ16" s="596"/>
      <c r="GA16" s="596"/>
      <c r="GB16" s="596"/>
      <c r="GC16" s="596"/>
      <c r="GD16" s="596"/>
      <c r="GE16" s="596"/>
      <c r="GF16" s="596"/>
      <c r="GG16" s="596"/>
      <c r="GH16" s="596"/>
      <c r="GI16" s="596"/>
      <c r="GJ16" s="596"/>
      <c r="GK16" s="596"/>
      <c r="GL16" s="596"/>
      <c r="GM16" s="596"/>
      <c r="GN16" s="596"/>
      <c r="GO16" s="596"/>
      <c r="GP16" s="596"/>
      <c r="GQ16" s="596"/>
      <c r="GR16" s="596"/>
      <c r="GS16" s="596"/>
      <c r="GT16" s="596"/>
      <c r="GU16" s="596"/>
      <c r="GV16" s="596"/>
      <c r="GW16" s="596"/>
      <c r="GX16" s="596"/>
      <c r="GY16" s="596"/>
      <c r="GZ16" s="596"/>
      <c r="HA16" s="596"/>
      <c r="HB16" s="596"/>
      <c r="HC16" s="596"/>
      <c r="HD16" s="596"/>
      <c r="HE16" s="596"/>
      <c r="HF16" s="596"/>
      <c r="HG16" s="596"/>
      <c r="HH16" s="596"/>
      <c r="HI16" s="596"/>
      <c r="HJ16" s="596"/>
      <c r="HK16" s="596"/>
      <c r="HL16" s="596"/>
      <c r="HM16" s="596"/>
      <c r="HN16" s="596"/>
      <c r="HO16" s="596"/>
      <c r="HP16" s="596"/>
      <c r="HQ16" s="596"/>
      <c r="HR16" s="596"/>
      <c r="HS16" s="596"/>
      <c r="HT16" s="596"/>
      <c r="HU16" s="596"/>
      <c r="HV16" s="596"/>
      <c r="HW16" s="596"/>
      <c r="HX16" s="596"/>
      <c r="HY16" s="596"/>
      <c r="HZ16" s="596"/>
      <c r="IA16" s="596"/>
      <c r="IB16" s="596"/>
      <c r="IC16" s="596"/>
      <c r="ID16" s="596"/>
      <c r="IE16" s="596"/>
      <c r="IF16" s="596"/>
      <c r="IG16" s="596"/>
      <c r="IH16" s="596"/>
      <c r="II16" s="596"/>
      <c r="IJ16" s="596"/>
      <c r="IK16" s="596"/>
      <c r="IL16" s="596"/>
      <c r="IM16" s="596"/>
      <c r="IN16" s="596"/>
      <c r="IO16" s="596"/>
      <c r="IP16" s="596"/>
      <c r="IQ16" s="596"/>
      <c r="IR16" s="596"/>
      <c r="IS16" s="596"/>
      <c r="IT16" s="596"/>
      <c r="IU16" s="596"/>
      <c r="IV16" s="596"/>
    </row>
    <row r="17" spans="1:256" ht="39">
      <c r="A17" s="606" t="s">
        <v>305</v>
      </c>
      <c r="B17" s="607" t="s">
        <v>507</v>
      </c>
      <c r="C17" s="607" t="s">
        <v>508</v>
      </c>
      <c r="D17" s="607" t="s">
        <v>516</v>
      </c>
      <c r="E17" s="607" t="s">
        <v>517</v>
      </c>
      <c r="F17" s="607" t="s">
        <v>518</v>
      </c>
      <c r="G17" s="607" t="s">
        <v>519</v>
      </c>
      <c r="H17" s="607" t="s">
        <v>509</v>
      </c>
      <c r="I17" s="607" t="s">
        <v>520</v>
      </c>
      <c r="J17" s="596"/>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608"/>
      <c r="ED17" s="608"/>
      <c r="EE17" s="608"/>
      <c r="EF17" s="608"/>
      <c r="EG17" s="608"/>
      <c r="EH17" s="608"/>
      <c r="EI17" s="608"/>
      <c r="EJ17" s="608"/>
      <c r="EK17" s="608"/>
      <c r="EL17" s="608"/>
      <c r="EM17" s="608"/>
      <c r="EN17" s="608"/>
      <c r="EO17" s="608"/>
      <c r="EP17" s="608"/>
      <c r="EQ17" s="608"/>
      <c r="ER17" s="608"/>
      <c r="ES17" s="608"/>
      <c r="ET17" s="608"/>
      <c r="EU17" s="608"/>
      <c r="EV17" s="608"/>
      <c r="EW17" s="608"/>
      <c r="EX17" s="608"/>
      <c r="EY17" s="608"/>
      <c r="EZ17" s="608"/>
      <c r="FA17" s="608"/>
      <c r="FB17" s="608"/>
      <c r="FC17" s="608"/>
      <c r="FD17" s="608"/>
      <c r="FE17" s="608"/>
      <c r="FF17" s="608"/>
      <c r="FG17" s="608"/>
      <c r="FH17" s="608"/>
      <c r="FI17" s="608"/>
      <c r="FJ17" s="608"/>
      <c r="FK17" s="608"/>
      <c r="FL17" s="608"/>
      <c r="FM17" s="608"/>
      <c r="FN17" s="608"/>
      <c r="FO17" s="608"/>
      <c r="FP17" s="608"/>
      <c r="FQ17" s="608"/>
      <c r="FR17" s="608"/>
      <c r="FS17" s="608"/>
      <c r="FT17" s="608"/>
      <c r="FU17" s="608"/>
      <c r="FV17" s="608"/>
      <c r="FW17" s="608"/>
      <c r="FX17" s="608"/>
      <c r="FY17" s="608"/>
      <c r="FZ17" s="608"/>
      <c r="GA17" s="608"/>
      <c r="GB17" s="608"/>
      <c r="GC17" s="608"/>
      <c r="GD17" s="608"/>
      <c r="GE17" s="608"/>
      <c r="GF17" s="608"/>
      <c r="GG17" s="608"/>
      <c r="GH17" s="608"/>
      <c r="GI17" s="608"/>
      <c r="GJ17" s="608"/>
      <c r="GK17" s="608"/>
      <c r="GL17" s="608"/>
      <c r="GM17" s="608"/>
      <c r="GN17" s="608"/>
      <c r="GO17" s="608"/>
      <c r="GP17" s="608"/>
      <c r="GQ17" s="608"/>
      <c r="GR17" s="608"/>
      <c r="GS17" s="608"/>
      <c r="GT17" s="608"/>
      <c r="GU17" s="608"/>
      <c r="GV17" s="608"/>
      <c r="GW17" s="608"/>
      <c r="GX17" s="608"/>
      <c r="GY17" s="608"/>
      <c r="GZ17" s="608"/>
      <c r="HA17" s="608"/>
      <c r="HB17" s="608"/>
      <c r="HC17" s="608"/>
      <c r="HD17" s="608"/>
      <c r="HE17" s="608"/>
      <c r="HF17" s="608"/>
      <c r="HG17" s="608"/>
      <c r="HH17" s="608"/>
      <c r="HI17" s="608"/>
      <c r="HJ17" s="608"/>
      <c r="HK17" s="608"/>
      <c r="HL17" s="608"/>
      <c r="HM17" s="608"/>
      <c r="HN17" s="608"/>
      <c r="HO17" s="608"/>
      <c r="HP17" s="608"/>
      <c r="HQ17" s="608"/>
      <c r="HR17" s="608"/>
      <c r="HS17" s="608"/>
      <c r="HT17" s="608"/>
      <c r="HU17" s="608"/>
      <c r="HV17" s="608"/>
      <c r="HW17" s="608"/>
      <c r="HX17" s="608"/>
      <c r="HY17" s="608"/>
      <c r="HZ17" s="608"/>
      <c r="IA17" s="608"/>
      <c r="IB17" s="608"/>
      <c r="IC17" s="608"/>
      <c r="ID17" s="608"/>
      <c r="IE17" s="608"/>
      <c r="IF17" s="608"/>
      <c r="IG17" s="608"/>
      <c r="IH17" s="608"/>
      <c r="II17" s="608"/>
      <c r="IJ17" s="608"/>
      <c r="IK17" s="608"/>
      <c r="IL17" s="608"/>
      <c r="IM17" s="608"/>
      <c r="IN17" s="608"/>
      <c r="IO17" s="608"/>
      <c r="IP17" s="608"/>
      <c r="IQ17" s="608"/>
      <c r="IR17" s="608"/>
      <c r="IS17" s="608"/>
      <c r="IT17" s="608"/>
      <c r="IU17" s="608"/>
      <c r="IV17" s="608"/>
    </row>
    <row r="18" spans="1:256">
      <c r="A18" s="600">
        <f>+A14+1</f>
        <v>5</v>
      </c>
      <c r="B18" s="597" t="s">
        <v>510</v>
      </c>
      <c r="C18" s="609">
        <f>+H12</f>
        <v>0</v>
      </c>
      <c r="D18" s="609">
        <f>C18</f>
        <v>0</v>
      </c>
      <c r="E18" s="597"/>
      <c r="F18" s="443">
        <v>365</v>
      </c>
      <c r="G18" s="610">
        <f>F18/$F$18</f>
        <v>1</v>
      </c>
      <c r="H18" s="609">
        <f>C18*G18</f>
        <v>0</v>
      </c>
      <c r="I18" s="609">
        <f>H18</f>
        <v>0</v>
      </c>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6"/>
      <c r="DA18" s="596"/>
      <c r="DB18" s="596"/>
      <c r="DC18" s="596"/>
      <c r="DD18" s="596"/>
      <c r="DE18" s="596"/>
      <c r="DF18" s="596"/>
      <c r="DG18" s="596"/>
      <c r="DH18" s="596"/>
      <c r="DI18" s="596"/>
      <c r="DJ18" s="596"/>
      <c r="DK18" s="596"/>
      <c r="DL18" s="596"/>
      <c r="DM18" s="596"/>
      <c r="DN18" s="596"/>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96"/>
      <c r="EN18" s="596"/>
      <c r="EO18" s="596"/>
      <c r="EP18" s="596"/>
      <c r="EQ18" s="596"/>
      <c r="ER18" s="596"/>
      <c r="ES18" s="596"/>
      <c r="ET18" s="596"/>
      <c r="EU18" s="596"/>
      <c r="EV18" s="596"/>
      <c r="EW18" s="596"/>
      <c r="EX18" s="596"/>
      <c r="EY18" s="596"/>
      <c r="EZ18" s="596"/>
      <c r="FA18" s="596"/>
      <c r="FB18" s="596"/>
      <c r="FC18" s="596"/>
      <c r="FD18" s="596"/>
      <c r="FE18" s="596"/>
      <c r="FF18" s="596"/>
      <c r="FG18" s="596"/>
      <c r="FH18" s="596"/>
      <c r="FI18" s="596"/>
      <c r="FJ18" s="596"/>
      <c r="FK18" s="596"/>
      <c r="FL18" s="596"/>
      <c r="FM18" s="596"/>
      <c r="FN18" s="596"/>
      <c r="FO18" s="596"/>
      <c r="FP18" s="596"/>
      <c r="FQ18" s="596"/>
      <c r="FR18" s="596"/>
      <c r="FS18" s="596"/>
      <c r="FT18" s="596"/>
      <c r="FU18" s="596"/>
      <c r="FV18" s="596"/>
      <c r="FW18" s="596"/>
      <c r="FX18" s="596"/>
      <c r="FY18" s="596"/>
      <c r="FZ18" s="596"/>
      <c r="GA18" s="596"/>
      <c r="GB18" s="596"/>
      <c r="GC18" s="596"/>
      <c r="GD18" s="596"/>
      <c r="GE18" s="596"/>
      <c r="GF18" s="596"/>
      <c r="GG18" s="596"/>
      <c r="GH18" s="596"/>
      <c r="GI18" s="596"/>
      <c r="GJ18" s="596"/>
      <c r="GK18" s="596"/>
      <c r="GL18" s="596"/>
      <c r="GM18" s="596"/>
      <c r="GN18" s="596"/>
      <c r="GO18" s="596"/>
      <c r="GP18" s="596"/>
      <c r="GQ18" s="596"/>
      <c r="GR18" s="596"/>
      <c r="GS18" s="596"/>
      <c r="GT18" s="596"/>
      <c r="GU18" s="596"/>
      <c r="GV18" s="596"/>
      <c r="GW18" s="596"/>
      <c r="GX18" s="596"/>
      <c r="GY18" s="596"/>
      <c r="GZ18" s="596"/>
      <c r="HA18" s="596"/>
      <c r="HB18" s="596"/>
      <c r="HC18" s="596"/>
      <c r="HD18" s="596"/>
      <c r="HE18" s="596"/>
      <c r="HF18" s="596"/>
      <c r="HG18" s="596"/>
      <c r="HH18" s="596"/>
      <c r="HI18" s="596"/>
      <c r="HJ18" s="596"/>
      <c r="HK18" s="596"/>
      <c r="HL18" s="596"/>
      <c r="HM18" s="596"/>
      <c r="HN18" s="596"/>
      <c r="HO18" s="596"/>
      <c r="HP18" s="596"/>
      <c r="HQ18" s="596"/>
      <c r="HR18" s="596"/>
      <c r="HS18" s="596"/>
      <c r="HT18" s="596"/>
      <c r="HU18" s="596"/>
      <c r="HV18" s="596"/>
      <c r="HW18" s="596"/>
      <c r="HX18" s="596"/>
      <c r="HY18" s="596"/>
      <c r="HZ18" s="596"/>
      <c r="IA18" s="596"/>
      <c r="IB18" s="596"/>
      <c r="IC18" s="596"/>
      <c r="ID18" s="596"/>
      <c r="IE18" s="596"/>
      <c r="IF18" s="596"/>
      <c r="IG18" s="596"/>
      <c r="IH18" s="596"/>
      <c r="II18" s="596"/>
      <c r="IJ18" s="596"/>
      <c r="IK18" s="596"/>
      <c r="IL18" s="596"/>
      <c r="IM18" s="596"/>
      <c r="IN18" s="596"/>
      <c r="IO18" s="596"/>
      <c r="IP18" s="596"/>
      <c r="IQ18" s="596"/>
      <c r="IR18" s="596"/>
      <c r="IS18" s="596"/>
      <c r="IT18" s="596"/>
      <c r="IU18" s="596"/>
      <c r="IV18" s="596"/>
    </row>
    <row r="19" spans="1:256">
      <c r="A19" s="600">
        <f>+A18+1</f>
        <v>6</v>
      </c>
      <c r="B19" s="597" t="s">
        <v>511</v>
      </c>
      <c r="C19" s="609">
        <f>+$H$14</f>
        <v>0</v>
      </c>
      <c r="D19" s="609">
        <f>D18+C19</f>
        <v>0</v>
      </c>
      <c r="E19" s="597">
        <v>31</v>
      </c>
      <c r="F19" s="443">
        <v>335</v>
      </c>
      <c r="G19" s="610">
        <f t="shared" ref="G19:G30" si="0">F19/$F$18</f>
        <v>0.9178082191780822</v>
      </c>
      <c r="H19" s="609">
        <f t="shared" ref="H19:H30" si="1">C19*G19</f>
        <v>0</v>
      </c>
      <c r="I19" s="609">
        <f>I18+H19</f>
        <v>0</v>
      </c>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96"/>
      <c r="BW19" s="596"/>
      <c r="BX19" s="596"/>
      <c r="BY19" s="596"/>
      <c r="BZ19" s="596"/>
      <c r="CA19" s="596"/>
      <c r="CB19" s="596"/>
      <c r="CC19" s="596"/>
      <c r="CD19" s="596"/>
      <c r="CE19" s="596"/>
      <c r="CF19" s="596"/>
      <c r="CG19" s="596"/>
      <c r="CH19" s="596"/>
      <c r="CI19" s="596"/>
      <c r="CJ19" s="596"/>
      <c r="CK19" s="596"/>
      <c r="CL19" s="596"/>
      <c r="CM19" s="596"/>
      <c r="CN19" s="596"/>
      <c r="CO19" s="596"/>
      <c r="CP19" s="596"/>
      <c r="CQ19" s="596"/>
      <c r="CR19" s="596"/>
      <c r="CS19" s="596"/>
      <c r="CT19" s="596"/>
      <c r="CU19" s="596"/>
      <c r="CV19" s="596"/>
      <c r="CW19" s="596"/>
      <c r="CX19" s="596"/>
      <c r="CY19" s="596"/>
      <c r="CZ19" s="596"/>
      <c r="DA19" s="596"/>
      <c r="DB19" s="596"/>
      <c r="DC19" s="596"/>
      <c r="DD19" s="596"/>
      <c r="DE19" s="596"/>
      <c r="DF19" s="596"/>
      <c r="DG19" s="596"/>
      <c r="DH19" s="596"/>
      <c r="DI19" s="596"/>
      <c r="DJ19" s="596"/>
      <c r="DK19" s="596"/>
      <c r="DL19" s="596"/>
      <c r="DM19" s="596"/>
      <c r="DN19" s="596"/>
      <c r="DO19" s="596"/>
      <c r="DP19" s="596"/>
      <c r="DQ19" s="596"/>
      <c r="DR19" s="596"/>
      <c r="DS19" s="596"/>
      <c r="DT19" s="596"/>
      <c r="DU19" s="596"/>
      <c r="DV19" s="596"/>
      <c r="DW19" s="596"/>
      <c r="DX19" s="596"/>
      <c r="DY19" s="596"/>
      <c r="DZ19" s="596"/>
      <c r="EA19" s="596"/>
      <c r="EB19" s="596"/>
      <c r="EC19" s="596"/>
      <c r="ED19" s="596"/>
      <c r="EE19" s="596"/>
      <c r="EF19" s="596"/>
      <c r="EG19" s="596"/>
      <c r="EH19" s="596"/>
      <c r="EI19" s="596"/>
      <c r="EJ19" s="596"/>
      <c r="EK19" s="596"/>
      <c r="EL19" s="596"/>
      <c r="EM19" s="596"/>
      <c r="EN19" s="596"/>
      <c r="EO19" s="596"/>
      <c r="EP19" s="596"/>
      <c r="EQ19" s="596"/>
      <c r="ER19" s="596"/>
      <c r="ES19" s="596"/>
      <c r="ET19" s="596"/>
      <c r="EU19" s="596"/>
      <c r="EV19" s="596"/>
      <c r="EW19" s="596"/>
      <c r="EX19" s="596"/>
      <c r="EY19" s="596"/>
      <c r="EZ19" s="596"/>
      <c r="FA19" s="596"/>
      <c r="FB19" s="596"/>
      <c r="FC19" s="596"/>
      <c r="FD19" s="596"/>
      <c r="FE19" s="596"/>
      <c r="FF19" s="596"/>
      <c r="FG19" s="596"/>
      <c r="FH19" s="596"/>
      <c r="FI19" s="596"/>
      <c r="FJ19" s="596"/>
      <c r="FK19" s="596"/>
      <c r="FL19" s="596"/>
      <c r="FM19" s="596"/>
      <c r="FN19" s="596"/>
      <c r="FO19" s="596"/>
      <c r="FP19" s="596"/>
      <c r="FQ19" s="596"/>
      <c r="FR19" s="596"/>
      <c r="FS19" s="596"/>
      <c r="FT19" s="596"/>
      <c r="FU19" s="596"/>
      <c r="FV19" s="596"/>
      <c r="FW19" s="596"/>
      <c r="FX19" s="596"/>
      <c r="FY19" s="596"/>
      <c r="FZ19" s="596"/>
      <c r="GA19" s="596"/>
      <c r="GB19" s="596"/>
      <c r="GC19" s="596"/>
      <c r="GD19" s="596"/>
      <c r="GE19" s="596"/>
      <c r="GF19" s="596"/>
      <c r="GG19" s="596"/>
      <c r="GH19" s="596"/>
      <c r="GI19" s="596"/>
      <c r="GJ19" s="596"/>
      <c r="GK19" s="596"/>
      <c r="GL19" s="596"/>
      <c r="GM19" s="596"/>
      <c r="GN19" s="596"/>
      <c r="GO19" s="596"/>
      <c r="GP19" s="596"/>
      <c r="GQ19" s="596"/>
      <c r="GR19" s="596"/>
      <c r="GS19" s="596"/>
      <c r="GT19" s="596"/>
      <c r="GU19" s="596"/>
      <c r="GV19" s="596"/>
      <c r="GW19" s="596"/>
      <c r="GX19" s="596"/>
      <c r="GY19" s="596"/>
      <c r="GZ19" s="596"/>
      <c r="HA19" s="596"/>
      <c r="HB19" s="596"/>
      <c r="HC19" s="596"/>
      <c r="HD19" s="596"/>
      <c r="HE19" s="596"/>
      <c r="HF19" s="596"/>
      <c r="HG19" s="596"/>
      <c r="HH19" s="596"/>
      <c r="HI19" s="596"/>
      <c r="HJ19" s="596"/>
      <c r="HK19" s="596"/>
      <c r="HL19" s="596"/>
      <c r="HM19" s="596"/>
      <c r="HN19" s="596"/>
      <c r="HO19" s="596"/>
      <c r="HP19" s="596"/>
      <c r="HQ19" s="596"/>
      <c r="HR19" s="596"/>
      <c r="HS19" s="596"/>
      <c r="HT19" s="596"/>
      <c r="HU19" s="596"/>
      <c r="HV19" s="596"/>
      <c r="HW19" s="596"/>
      <c r="HX19" s="596"/>
      <c r="HY19" s="596"/>
      <c r="HZ19" s="596"/>
      <c r="IA19" s="596"/>
      <c r="IB19" s="596"/>
      <c r="IC19" s="596"/>
      <c r="ID19" s="596"/>
      <c r="IE19" s="596"/>
      <c r="IF19" s="596"/>
      <c r="IG19" s="596"/>
      <c r="IH19" s="596"/>
      <c r="II19" s="596"/>
      <c r="IJ19" s="596"/>
      <c r="IK19" s="596"/>
      <c r="IL19" s="596"/>
      <c r="IM19" s="596"/>
      <c r="IN19" s="596"/>
      <c r="IO19" s="596"/>
      <c r="IP19" s="596"/>
      <c r="IQ19" s="596"/>
      <c r="IR19" s="596"/>
      <c r="IS19" s="596"/>
      <c r="IT19" s="596"/>
      <c r="IU19" s="596"/>
      <c r="IV19" s="596"/>
    </row>
    <row r="20" spans="1:256">
      <c r="A20" s="600">
        <f t="shared" ref="A20:A30" si="2">+A19+1</f>
        <v>7</v>
      </c>
      <c r="B20" s="597" t="s">
        <v>512</v>
      </c>
      <c r="C20" s="609">
        <f t="shared" ref="C20:C30" si="3">+$H$14</f>
        <v>0</v>
      </c>
      <c r="D20" s="609">
        <f>D19+C20</f>
        <v>0</v>
      </c>
      <c r="E20" s="443">
        <v>28</v>
      </c>
      <c r="F20" s="443">
        <v>307</v>
      </c>
      <c r="G20" s="610">
        <f t="shared" si="0"/>
        <v>0.84109589041095889</v>
      </c>
      <c r="H20" s="609">
        <f t="shared" si="1"/>
        <v>0</v>
      </c>
      <c r="I20" s="609">
        <f t="shared" ref="I20:I30" si="4">I19+H20</f>
        <v>0</v>
      </c>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596"/>
      <c r="DB20" s="596"/>
      <c r="DC20" s="596"/>
      <c r="DD20" s="596"/>
      <c r="DE20" s="596"/>
      <c r="DF20" s="596"/>
      <c r="DG20" s="596"/>
      <c r="DH20" s="596"/>
      <c r="DI20" s="596"/>
      <c r="DJ20" s="596"/>
      <c r="DK20" s="596"/>
      <c r="DL20" s="596"/>
      <c r="DM20" s="596"/>
      <c r="DN20" s="596"/>
      <c r="DO20" s="596"/>
      <c r="DP20" s="596"/>
      <c r="DQ20" s="596"/>
      <c r="DR20" s="596"/>
      <c r="DS20" s="596"/>
      <c r="DT20" s="596"/>
      <c r="DU20" s="596"/>
      <c r="DV20" s="596"/>
      <c r="DW20" s="596"/>
      <c r="DX20" s="596"/>
      <c r="DY20" s="596"/>
      <c r="DZ20" s="596"/>
      <c r="EA20" s="596"/>
      <c r="EB20" s="596"/>
      <c r="EC20" s="596"/>
      <c r="ED20" s="596"/>
      <c r="EE20" s="596"/>
      <c r="EF20" s="596"/>
      <c r="EG20" s="596"/>
      <c r="EH20" s="596"/>
      <c r="EI20" s="596"/>
      <c r="EJ20" s="596"/>
      <c r="EK20" s="596"/>
      <c r="EL20" s="596"/>
      <c r="EM20" s="596"/>
      <c r="EN20" s="596"/>
      <c r="EO20" s="596"/>
      <c r="EP20" s="596"/>
      <c r="EQ20" s="596"/>
      <c r="ER20" s="596"/>
      <c r="ES20" s="596"/>
      <c r="ET20" s="596"/>
      <c r="EU20" s="596"/>
      <c r="EV20" s="596"/>
      <c r="EW20" s="596"/>
      <c r="EX20" s="596"/>
      <c r="EY20" s="596"/>
      <c r="EZ20" s="596"/>
      <c r="FA20" s="596"/>
      <c r="FB20" s="596"/>
      <c r="FC20" s="596"/>
      <c r="FD20" s="596"/>
      <c r="FE20" s="596"/>
      <c r="FF20" s="596"/>
      <c r="FG20" s="596"/>
      <c r="FH20" s="596"/>
      <c r="FI20" s="596"/>
      <c r="FJ20" s="596"/>
      <c r="FK20" s="596"/>
      <c r="FL20" s="596"/>
      <c r="FM20" s="596"/>
      <c r="FN20" s="596"/>
      <c r="FO20" s="596"/>
      <c r="FP20" s="596"/>
      <c r="FQ20" s="596"/>
      <c r="FR20" s="596"/>
      <c r="FS20" s="596"/>
      <c r="FT20" s="596"/>
      <c r="FU20" s="596"/>
      <c r="FV20" s="596"/>
      <c r="FW20" s="596"/>
      <c r="FX20" s="596"/>
      <c r="FY20" s="596"/>
      <c r="FZ20" s="596"/>
      <c r="GA20" s="596"/>
      <c r="GB20" s="596"/>
      <c r="GC20" s="596"/>
      <c r="GD20" s="596"/>
      <c r="GE20" s="596"/>
      <c r="GF20" s="596"/>
      <c r="GG20" s="596"/>
      <c r="GH20" s="596"/>
      <c r="GI20" s="596"/>
      <c r="GJ20" s="596"/>
      <c r="GK20" s="596"/>
      <c r="GL20" s="596"/>
      <c r="GM20" s="596"/>
      <c r="GN20" s="596"/>
      <c r="GO20" s="596"/>
      <c r="GP20" s="596"/>
      <c r="GQ20" s="596"/>
      <c r="GR20" s="596"/>
      <c r="GS20" s="596"/>
      <c r="GT20" s="596"/>
      <c r="GU20" s="596"/>
      <c r="GV20" s="596"/>
      <c r="GW20" s="596"/>
      <c r="GX20" s="596"/>
      <c r="GY20" s="596"/>
      <c r="GZ20" s="596"/>
      <c r="HA20" s="596"/>
      <c r="HB20" s="596"/>
      <c r="HC20" s="596"/>
      <c r="HD20" s="596"/>
      <c r="HE20" s="596"/>
      <c r="HF20" s="596"/>
      <c r="HG20" s="596"/>
      <c r="HH20" s="596"/>
      <c r="HI20" s="596"/>
      <c r="HJ20" s="596"/>
      <c r="HK20" s="596"/>
      <c r="HL20" s="596"/>
      <c r="HM20" s="596"/>
      <c r="HN20" s="596"/>
      <c r="HO20" s="596"/>
      <c r="HP20" s="596"/>
      <c r="HQ20" s="596"/>
      <c r="HR20" s="596"/>
      <c r="HS20" s="596"/>
      <c r="HT20" s="596"/>
      <c r="HU20" s="596"/>
      <c r="HV20" s="596"/>
      <c r="HW20" s="596"/>
      <c r="HX20" s="596"/>
      <c r="HY20" s="596"/>
      <c r="HZ20" s="596"/>
      <c r="IA20" s="596"/>
      <c r="IB20" s="596"/>
      <c r="IC20" s="596"/>
      <c r="ID20" s="596"/>
      <c r="IE20" s="596"/>
      <c r="IF20" s="596"/>
      <c r="IG20" s="596"/>
      <c r="IH20" s="596"/>
      <c r="II20" s="596"/>
      <c r="IJ20" s="596"/>
      <c r="IK20" s="596"/>
      <c r="IL20" s="596"/>
      <c r="IM20" s="596"/>
      <c r="IN20" s="596"/>
      <c r="IO20" s="596"/>
      <c r="IP20" s="596"/>
      <c r="IQ20" s="596"/>
      <c r="IR20" s="596"/>
      <c r="IS20" s="596"/>
      <c r="IT20" s="596"/>
      <c r="IU20" s="596"/>
      <c r="IV20" s="596"/>
    </row>
    <row r="21" spans="1:256">
      <c r="A21" s="600">
        <f t="shared" si="2"/>
        <v>8</v>
      </c>
      <c r="B21" s="597" t="s">
        <v>320</v>
      </c>
      <c r="C21" s="609">
        <f t="shared" si="3"/>
        <v>0</v>
      </c>
      <c r="D21" s="609">
        <f>D20+C21</f>
        <v>0</v>
      </c>
      <c r="E21" s="597">
        <v>31</v>
      </c>
      <c r="F21" s="443">
        <v>276</v>
      </c>
      <c r="G21" s="610">
        <f t="shared" si="0"/>
        <v>0.75616438356164384</v>
      </c>
      <c r="H21" s="609">
        <f t="shared" si="1"/>
        <v>0</v>
      </c>
      <c r="I21" s="609">
        <f t="shared" si="4"/>
        <v>0</v>
      </c>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c r="CV21" s="596"/>
      <c r="CW21" s="596"/>
      <c r="CX21" s="596"/>
      <c r="CY21" s="596"/>
      <c r="CZ21" s="596"/>
      <c r="DA21" s="596"/>
      <c r="DB21" s="596"/>
      <c r="DC21" s="596"/>
      <c r="DD21" s="596"/>
      <c r="DE21" s="596"/>
      <c r="DF21" s="596"/>
      <c r="DG21" s="596"/>
      <c r="DH21" s="596"/>
      <c r="DI21" s="596"/>
      <c r="DJ21" s="596"/>
      <c r="DK21" s="596"/>
      <c r="DL21" s="596"/>
      <c r="DM21" s="596"/>
      <c r="DN21" s="596"/>
      <c r="DO21" s="596"/>
      <c r="DP21" s="596"/>
      <c r="DQ21" s="596"/>
      <c r="DR21" s="596"/>
      <c r="DS21" s="596"/>
      <c r="DT21" s="596"/>
      <c r="DU21" s="596"/>
      <c r="DV21" s="596"/>
      <c r="DW21" s="596"/>
      <c r="DX21" s="596"/>
      <c r="DY21" s="596"/>
      <c r="DZ21" s="596"/>
      <c r="EA21" s="596"/>
      <c r="EB21" s="596"/>
      <c r="EC21" s="596"/>
      <c r="ED21" s="596"/>
      <c r="EE21" s="596"/>
      <c r="EF21" s="596"/>
      <c r="EG21" s="596"/>
      <c r="EH21" s="596"/>
      <c r="EI21" s="596"/>
      <c r="EJ21" s="596"/>
      <c r="EK21" s="596"/>
      <c r="EL21" s="596"/>
      <c r="EM21" s="596"/>
      <c r="EN21" s="596"/>
      <c r="EO21" s="596"/>
      <c r="EP21" s="596"/>
      <c r="EQ21" s="596"/>
      <c r="ER21" s="596"/>
      <c r="ES21" s="596"/>
      <c r="ET21" s="596"/>
      <c r="EU21" s="596"/>
      <c r="EV21" s="596"/>
      <c r="EW21" s="596"/>
      <c r="EX21" s="596"/>
      <c r="EY21" s="596"/>
      <c r="EZ21" s="596"/>
      <c r="FA21" s="596"/>
      <c r="FB21" s="596"/>
      <c r="FC21" s="596"/>
      <c r="FD21" s="596"/>
      <c r="FE21" s="596"/>
      <c r="FF21" s="596"/>
      <c r="FG21" s="596"/>
      <c r="FH21" s="596"/>
      <c r="FI21" s="596"/>
      <c r="FJ21" s="596"/>
      <c r="FK21" s="596"/>
      <c r="FL21" s="596"/>
      <c r="FM21" s="596"/>
      <c r="FN21" s="596"/>
      <c r="FO21" s="596"/>
      <c r="FP21" s="596"/>
      <c r="FQ21" s="596"/>
      <c r="FR21" s="596"/>
      <c r="FS21" s="596"/>
      <c r="FT21" s="596"/>
      <c r="FU21" s="596"/>
      <c r="FV21" s="596"/>
      <c r="FW21" s="596"/>
      <c r="FX21" s="596"/>
      <c r="FY21" s="596"/>
      <c r="FZ21" s="596"/>
      <c r="GA21" s="596"/>
      <c r="GB21" s="596"/>
      <c r="GC21" s="596"/>
      <c r="GD21" s="596"/>
      <c r="GE21" s="596"/>
      <c r="GF21" s="596"/>
      <c r="GG21" s="596"/>
      <c r="GH21" s="596"/>
      <c r="GI21" s="596"/>
      <c r="GJ21" s="596"/>
      <c r="GK21" s="596"/>
      <c r="GL21" s="596"/>
      <c r="GM21" s="596"/>
      <c r="GN21" s="596"/>
      <c r="GO21" s="596"/>
      <c r="GP21" s="596"/>
      <c r="GQ21" s="596"/>
      <c r="GR21" s="596"/>
      <c r="GS21" s="596"/>
      <c r="GT21" s="596"/>
      <c r="GU21" s="596"/>
      <c r="GV21" s="596"/>
      <c r="GW21" s="596"/>
      <c r="GX21" s="596"/>
      <c r="GY21" s="596"/>
      <c r="GZ21" s="596"/>
      <c r="HA21" s="596"/>
      <c r="HB21" s="596"/>
      <c r="HC21" s="596"/>
      <c r="HD21" s="596"/>
      <c r="HE21" s="596"/>
      <c r="HF21" s="596"/>
      <c r="HG21" s="596"/>
      <c r="HH21" s="596"/>
      <c r="HI21" s="596"/>
      <c r="HJ21" s="596"/>
      <c r="HK21" s="596"/>
      <c r="HL21" s="596"/>
      <c r="HM21" s="596"/>
      <c r="HN21" s="596"/>
      <c r="HO21" s="596"/>
      <c r="HP21" s="596"/>
      <c r="HQ21" s="596"/>
      <c r="HR21" s="596"/>
      <c r="HS21" s="596"/>
      <c r="HT21" s="596"/>
      <c r="HU21" s="596"/>
      <c r="HV21" s="596"/>
      <c r="HW21" s="596"/>
      <c r="HX21" s="596"/>
      <c r="HY21" s="596"/>
      <c r="HZ21" s="596"/>
      <c r="IA21" s="596"/>
      <c r="IB21" s="596"/>
      <c r="IC21" s="596"/>
      <c r="ID21" s="596"/>
      <c r="IE21" s="596"/>
      <c r="IF21" s="596"/>
      <c r="IG21" s="596"/>
      <c r="IH21" s="596"/>
      <c r="II21" s="596"/>
      <c r="IJ21" s="596"/>
      <c r="IK21" s="596"/>
      <c r="IL21" s="596"/>
      <c r="IM21" s="596"/>
      <c r="IN21" s="596"/>
      <c r="IO21" s="596"/>
      <c r="IP21" s="596"/>
      <c r="IQ21" s="596"/>
      <c r="IR21" s="596"/>
      <c r="IS21" s="596"/>
      <c r="IT21" s="596"/>
      <c r="IU21" s="596"/>
      <c r="IV21" s="596"/>
    </row>
    <row r="22" spans="1:256">
      <c r="A22" s="600">
        <f t="shared" si="2"/>
        <v>9</v>
      </c>
      <c r="B22" s="597" t="s">
        <v>321</v>
      </c>
      <c r="C22" s="609">
        <f t="shared" si="3"/>
        <v>0</v>
      </c>
      <c r="D22" s="609">
        <f t="shared" ref="D22:D30" si="5">D21+C22</f>
        <v>0</v>
      </c>
      <c r="E22" s="597">
        <v>30</v>
      </c>
      <c r="F22" s="443">
        <v>246</v>
      </c>
      <c r="G22" s="610">
        <f t="shared" si="0"/>
        <v>0.67397260273972603</v>
      </c>
      <c r="H22" s="609">
        <f t="shared" si="1"/>
        <v>0</v>
      </c>
      <c r="I22" s="609">
        <f t="shared" si="4"/>
        <v>0</v>
      </c>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6"/>
      <c r="BW22" s="596"/>
      <c r="BX22" s="596"/>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6"/>
      <c r="ED22" s="596"/>
      <c r="EE22" s="596"/>
      <c r="EF22" s="596"/>
      <c r="EG22" s="596"/>
      <c r="EH22" s="596"/>
      <c r="EI22" s="596"/>
      <c r="EJ22" s="596"/>
      <c r="EK22" s="596"/>
      <c r="EL22" s="596"/>
      <c r="EM22" s="596"/>
      <c r="EN22" s="596"/>
      <c r="EO22" s="596"/>
      <c r="EP22" s="596"/>
      <c r="EQ22" s="596"/>
      <c r="ER22" s="596"/>
      <c r="ES22" s="596"/>
      <c r="ET22" s="596"/>
      <c r="EU22" s="596"/>
      <c r="EV22" s="596"/>
      <c r="EW22" s="596"/>
      <c r="EX22" s="596"/>
      <c r="EY22" s="596"/>
      <c r="EZ22" s="596"/>
      <c r="FA22" s="596"/>
      <c r="FB22" s="596"/>
      <c r="FC22" s="596"/>
      <c r="FD22" s="596"/>
      <c r="FE22" s="596"/>
      <c r="FF22" s="596"/>
      <c r="FG22" s="596"/>
      <c r="FH22" s="596"/>
      <c r="FI22" s="596"/>
      <c r="FJ22" s="596"/>
      <c r="FK22" s="596"/>
      <c r="FL22" s="596"/>
      <c r="FM22" s="596"/>
      <c r="FN22" s="596"/>
      <c r="FO22" s="596"/>
      <c r="FP22" s="596"/>
      <c r="FQ22" s="596"/>
      <c r="FR22" s="596"/>
      <c r="FS22" s="596"/>
      <c r="FT22" s="596"/>
      <c r="FU22" s="596"/>
      <c r="FV22" s="596"/>
      <c r="FW22" s="596"/>
      <c r="FX22" s="596"/>
      <c r="FY22" s="596"/>
      <c r="FZ22" s="596"/>
      <c r="GA22" s="596"/>
      <c r="GB22" s="596"/>
      <c r="GC22" s="596"/>
      <c r="GD22" s="596"/>
      <c r="GE22" s="596"/>
      <c r="GF22" s="596"/>
      <c r="GG22" s="596"/>
      <c r="GH22" s="596"/>
      <c r="GI22" s="596"/>
      <c r="GJ22" s="596"/>
      <c r="GK22" s="596"/>
      <c r="GL22" s="596"/>
      <c r="GM22" s="596"/>
      <c r="GN22" s="596"/>
      <c r="GO22" s="596"/>
      <c r="GP22" s="596"/>
      <c r="GQ22" s="596"/>
      <c r="GR22" s="596"/>
      <c r="GS22" s="596"/>
      <c r="GT22" s="596"/>
      <c r="GU22" s="596"/>
      <c r="GV22" s="596"/>
      <c r="GW22" s="596"/>
      <c r="GX22" s="596"/>
      <c r="GY22" s="596"/>
      <c r="GZ22" s="596"/>
      <c r="HA22" s="596"/>
      <c r="HB22" s="596"/>
      <c r="HC22" s="596"/>
      <c r="HD22" s="596"/>
      <c r="HE22" s="596"/>
      <c r="HF22" s="596"/>
      <c r="HG22" s="596"/>
      <c r="HH22" s="596"/>
      <c r="HI22" s="596"/>
      <c r="HJ22" s="596"/>
      <c r="HK22" s="596"/>
      <c r="HL22" s="596"/>
      <c r="HM22" s="596"/>
      <c r="HN22" s="596"/>
      <c r="HO22" s="596"/>
      <c r="HP22" s="596"/>
      <c r="HQ22" s="596"/>
      <c r="HR22" s="596"/>
      <c r="HS22" s="596"/>
      <c r="HT22" s="596"/>
      <c r="HU22" s="596"/>
      <c r="HV22" s="596"/>
      <c r="HW22" s="596"/>
      <c r="HX22" s="596"/>
      <c r="HY22" s="596"/>
      <c r="HZ22" s="596"/>
      <c r="IA22" s="596"/>
      <c r="IB22" s="596"/>
      <c r="IC22" s="596"/>
      <c r="ID22" s="596"/>
      <c r="IE22" s="596"/>
      <c r="IF22" s="596"/>
      <c r="IG22" s="596"/>
      <c r="IH22" s="596"/>
      <c r="II22" s="596"/>
      <c r="IJ22" s="596"/>
      <c r="IK22" s="596"/>
      <c r="IL22" s="596"/>
      <c r="IM22" s="596"/>
      <c r="IN22" s="596"/>
      <c r="IO22" s="596"/>
      <c r="IP22" s="596"/>
      <c r="IQ22" s="596"/>
      <c r="IR22" s="596"/>
      <c r="IS22" s="596"/>
      <c r="IT22" s="596"/>
      <c r="IU22" s="596"/>
      <c r="IV22" s="596"/>
    </row>
    <row r="23" spans="1:256">
      <c r="A23" s="600">
        <f t="shared" si="2"/>
        <v>10</v>
      </c>
      <c r="B23" s="597" t="s">
        <v>322</v>
      </c>
      <c r="C23" s="609">
        <f t="shared" si="3"/>
        <v>0</v>
      </c>
      <c r="D23" s="609">
        <f t="shared" si="5"/>
        <v>0</v>
      </c>
      <c r="E23" s="597">
        <v>31</v>
      </c>
      <c r="F23" s="443">
        <v>215</v>
      </c>
      <c r="G23" s="610">
        <f t="shared" si="0"/>
        <v>0.58904109589041098</v>
      </c>
      <c r="H23" s="609">
        <f t="shared" si="1"/>
        <v>0</v>
      </c>
      <c r="I23" s="609">
        <f>I22+H23</f>
        <v>0</v>
      </c>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6"/>
      <c r="BW23" s="596"/>
      <c r="BX23" s="596"/>
      <c r="BY23" s="596"/>
      <c r="BZ23" s="596"/>
      <c r="CA23" s="596"/>
      <c r="CB23" s="596"/>
      <c r="CC23" s="596"/>
      <c r="CD23" s="596"/>
      <c r="CE23" s="596"/>
      <c r="CF23" s="596"/>
      <c r="CG23" s="596"/>
      <c r="CH23" s="596"/>
      <c r="CI23" s="596"/>
      <c r="CJ23" s="596"/>
      <c r="CK23" s="596"/>
      <c r="CL23" s="596"/>
      <c r="CM23" s="596"/>
      <c r="CN23" s="596"/>
      <c r="CO23" s="596"/>
      <c r="CP23" s="596"/>
      <c r="CQ23" s="596"/>
      <c r="CR23" s="596"/>
      <c r="CS23" s="596"/>
      <c r="CT23" s="596"/>
      <c r="CU23" s="596"/>
      <c r="CV23" s="596"/>
      <c r="CW23" s="596"/>
      <c r="CX23" s="596"/>
      <c r="CY23" s="596"/>
      <c r="CZ23" s="596"/>
      <c r="DA23" s="596"/>
      <c r="DB23" s="596"/>
      <c r="DC23" s="596"/>
      <c r="DD23" s="596"/>
      <c r="DE23" s="596"/>
      <c r="DF23" s="596"/>
      <c r="DG23" s="596"/>
      <c r="DH23" s="596"/>
      <c r="DI23" s="596"/>
      <c r="DJ23" s="596"/>
      <c r="DK23" s="596"/>
      <c r="DL23" s="596"/>
      <c r="DM23" s="596"/>
      <c r="DN23" s="596"/>
      <c r="DO23" s="596"/>
      <c r="DP23" s="596"/>
      <c r="DQ23" s="596"/>
      <c r="DR23" s="596"/>
      <c r="DS23" s="596"/>
      <c r="DT23" s="596"/>
      <c r="DU23" s="596"/>
      <c r="DV23" s="596"/>
      <c r="DW23" s="596"/>
      <c r="DX23" s="596"/>
      <c r="DY23" s="596"/>
      <c r="DZ23" s="596"/>
      <c r="EA23" s="596"/>
      <c r="EB23" s="596"/>
      <c r="EC23" s="596"/>
      <c r="ED23" s="596"/>
      <c r="EE23" s="596"/>
      <c r="EF23" s="596"/>
      <c r="EG23" s="596"/>
      <c r="EH23" s="596"/>
      <c r="EI23" s="596"/>
      <c r="EJ23" s="596"/>
      <c r="EK23" s="596"/>
      <c r="EL23" s="596"/>
      <c r="EM23" s="596"/>
      <c r="EN23" s="596"/>
      <c r="EO23" s="596"/>
      <c r="EP23" s="596"/>
      <c r="EQ23" s="596"/>
      <c r="ER23" s="596"/>
      <c r="ES23" s="596"/>
      <c r="ET23" s="596"/>
      <c r="EU23" s="596"/>
      <c r="EV23" s="596"/>
      <c r="EW23" s="596"/>
      <c r="EX23" s="596"/>
      <c r="EY23" s="596"/>
      <c r="EZ23" s="596"/>
      <c r="FA23" s="596"/>
      <c r="FB23" s="596"/>
      <c r="FC23" s="596"/>
      <c r="FD23" s="596"/>
      <c r="FE23" s="596"/>
      <c r="FF23" s="596"/>
      <c r="FG23" s="596"/>
      <c r="FH23" s="596"/>
      <c r="FI23" s="596"/>
      <c r="FJ23" s="596"/>
      <c r="FK23" s="596"/>
      <c r="FL23" s="596"/>
      <c r="FM23" s="596"/>
      <c r="FN23" s="596"/>
      <c r="FO23" s="596"/>
      <c r="FP23" s="596"/>
      <c r="FQ23" s="596"/>
      <c r="FR23" s="596"/>
      <c r="FS23" s="596"/>
      <c r="FT23" s="596"/>
      <c r="FU23" s="596"/>
      <c r="FV23" s="596"/>
      <c r="FW23" s="596"/>
      <c r="FX23" s="596"/>
      <c r="FY23" s="596"/>
      <c r="FZ23" s="596"/>
      <c r="GA23" s="596"/>
      <c r="GB23" s="596"/>
      <c r="GC23" s="596"/>
      <c r="GD23" s="596"/>
      <c r="GE23" s="596"/>
      <c r="GF23" s="596"/>
      <c r="GG23" s="596"/>
      <c r="GH23" s="596"/>
      <c r="GI23" s="596"/>
      <c r="GJ23" s="596"/>
      <c r="GK23" s="596"/>
      <c r="GL23" s="596"/>
      <c r="GM23" s="596"/>
      <c r="GN23" s="596"/>
      <c r="GO23" s="596"/>
      <c r="GP23" s="596"/>
      <c r="GQ23" s="596"/>
      <c r="GR23" s="596"/>
      <c r="GS23" s="596"/>
      <c r="GT23" s="596"/>
      <c r="GU23" s="596"/>
      <c r="GV23" s="596"/>
      <c r="GW23" s="596"/>
      <c r="GX23" s="596"/>
      <c r="GY23" s="596"/>
      <c r="GZ23" s="596"/>
      <c r="HA23" s="596"/>
      <c r="HB23" s="596"/>
      <c r="HC23" s="596"/>
      <c r="HD23" s="596"/>
      <c r="HE23" s="596"/>
      <c r="HF23" s="596"/>
      <c r="HG23" s="596"/>
      <c r="HH23" s="596"/>
      <c r="HI23" s="596"/>
      <c r="HJ23" s="596"/>
      <c r="HK23" s="596"/>
      <c r="HL23" s="596"/>
      <c r="HM23" s="596"/>
      <c r="HN23" s="596"/>
      <c r="HO23" s="596"/>
      <c r="HP23" s="596"/>
      <c r="HQ23" s="596"/>
      <c r="HR23" s="596"/>
      <c r="HS23" s="596"/>
      <c r="HT23" s="596"/>
      <c r="HU23" s="596"/>
      <c r="HV23" s="596"/>
      <c r="HW23" s="596"/>
      <c r="HX23" s="596"/>
      <c r="HY23" s="596"/>
      <c r="HZ23" s="596"/>
      <c r="IA23" s="596"/>
      <c r="IB23" s="596"/>
      <c r="IC23" s="596"/>
      <c r="ID23" s="596"/>
      <c r="IE23" s="596"/>
      <c r="IF23" s="596"/>
      <c r="IG23" s="596"/>
      <c r="IH23" s="596"/>
      <c r="II23" s="596"/>
      <c r="IJ23" s="596"/>
      <c r="IK23" s="596"/>
      <c r="IL23" s="596"/>
      <c r="IM23" s="596"/>
      <c r="IN23" s="596"/>
      <c r="IO23" s="596"/>
      <c r="IP23" s="596"/>
      <c r="IQ23" s="596"/>
      <c r="IR23" s="596"/>
      <c r="IS23" s="596"/>
      <c r="IT23" s="596"/>
      <c r="IU23" s="596"/>
      <c r="IV23" s="596"/>
    </row>
    <row r="24" spans="1:256">
      <c r="A24" s="600">
        <f t="shared" si="2"/>
        <v>11</v>
      </c>
      <c r="B24" s="597" t="s">
        <v>48</v>
      </c>
      <c r="C24" s="609">
        <f t="shared" si="3"/>
        <v>0</v>
      </c>
      <c r="D24" s="609">
        <f t="shared" si="5"/>
        <v>0</v>
      </c>
      <c r="E24" s="597">
        <v>30</v>
      </c>
      <c r="F24" s="443">
        <v>185</v>
      </c>
      <c r="G24" s="610">
        <f t="shared" si="0"/>
        <v>0.50684931506849318</v>
      </c>
      <c r="H24" s="609">
        <f t="shared" si="1"/>
        <v>0</v>
      </c>
      <c r="I24" s="609">
        <f>I23+H24</f>
        <v>0</v>
      </c>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596"/>
      <c r="BR24" s="596"/>
      <c r="BS24" s="596"/>
      <c r="BT24" s="596"/>
      <c r="BU24" s="596"/>
      <c r="BV24" s="596"/>
      <c r="BW24" s="596"/>
      <c r="BX24" s="596"/>
      <c r="BY24" s="596"/>
      <c r="BZ24" s="596"/>
      <c r="CA24" s="596"/>
      <c r="CB24" s="596"/>
      <c r="CC24" s="596"/>
      <c r="CD24" s="596"/>
      <c r="CE24" s="596"/>
      <c r="CF24" s="596"/>
      <c r="CG24" s="596"/>
      <c r="CH24" s="596"/>
      <c r="CI24" s="596"/>
      <c r="CJ24" s="596"/>
      <c r="CK24" s="596"/>
      <c r="CL24" s="596"/>
      <c r="CM24" s="596"/>
      <c r="CN24" s="596"/>
      <c r="CO24" s="596"/>
      <c r="CP24" s="596"/>
      <c r="CQ24" s="596"/>
      <c r="CR24" s="596"/>
      <c r="CS24" s="596"/>
      <c r="CT24" s="596"/>
      <c r="CU24" s="596"/>
      <c r="CV24" s="596"/>
      <c r="CW24" s="596"/>
      <c r="CX24" s="596"/>
      <c r="CY24" s="596"/>
      <c r="CZ24" s="596"/>
      <c r="DA24" s="596"/>
      <c r="DB24" s="596"/>
      <c r="DC24" s="596"/>
      <c r="DD24" s="596"/>
      <c r="DE24" s="596"/>
      <c r="DF24" s="596"/>
      <c r="DG24" s="596"/>
      <c r="DH24" s="596"/>
      <c r="DI24" s="596"/>
      <c r="DJ24" s="596"/>
      <c r="DK24" s="596"/>
      <c r="DL24" s="596"/>
      <c r="DM24" s="596"/>
      <c r="DN24" s="596"/>
      <c r="DO24" s="596"/>
      <c r="DP24" s="596"/>
      <c r="DQ24" s="596"/>
      <c r="DR24" s="596"/>
      <c r="DS24" s="596"/>
      <c r="DT24" s="596"/>
      <c r="DU24" s="596"/>
      <c r="DV24" s="596"/>
      <c r="DW24" s="596"/>
      <c r="DX24" s="596"/>
      <c r="DY24" s="596"/>
      <c r="DZ24" s="596"/>
      <c r="EA24" s="596"/>
      <c r="EB24" s="596"/>
      <c r="EC24" s="596"/>
      <c r="ED24" s="596"/>
      <c r="EE24" s="596"/>
      <c r="EF24" s="596"/>
      <c r="EG24" s="596"/>
      <c r="EH24" s="596"/>
      <c r="EI24" s="596"/>
      <c r="EJ24" s="596"/>
      <c r="EK24" s="596"/>
      <c r="EL24" s="596"/>
      <c r="EM24" s="596"/>
      <c r="EN24" s="596"/>
      <c r="EO24" s="596"/>
      <c r="EP24" s="596"/>
      <c r="EQ24" s="596"/>
      <c r="ER24" s="596"/>
      <c r="ES24" s="596"/>
      <c r="ET24" s="596"/>
      <c r="EU24" s="596"/>
      <c r="EV24" s="596"/>
      <c r="EW24" s="596"/>
      <c r="EX24" s="596"/>
      <c r="EY24" s="596"/>
      <c r="EZ24" s="596"/>
      <c r="FA24" s="596"/>
      <c r="FB24" s="596"/>
      <c r="FC24" s="596"/>
      <c r="FD24" s="596"/>
      <c r="FE24" s="596"/>
      <c r="FF24" s="596"/>
      <c r="FG24" s="596"/>
      <c r="FH24" s="596"/>
      <c r="FI24" s="596"/>
      <c r="FJ24" s="596"/>
      <c r="FK24" s="596"/>
      <c r="FL24" s="596"/>
      <c r="FM24" s="596"/>
      <c r="FN24" s="596"/>
      <c r="FO24" s="596"/>
      <c r="FP24" s="596"/>
      <c r="FQ24" s="596"/>
      <c r="FR24" s="596"/>
      <c r="FS24" s="596"/>
      <c r="FT24" s="596"/>
      <c r="FU24" s="596"/>
      <c r="FV24" s="596"/>
      <c r="FW24" s="596"/>
      <c r="FX24" s="596"/>
      <c r="FY24" s="596"/>
      <c r="FZ24" s="596"/>
      <c r="GA24" s="596"/>
      <c r="GB24" s="596"/>
      <c r="GC24" s="596"/>
      <c r="GD24" s="596"/>
      <c r="GE24" s="596"/>
      <c r="GF24" s="596"/>
      <c r="GG24" s="596"/>
      <c r="GH24" s="596"/>
      <c r="GI24" s="596"/>
      <c r="GJ24" s="596"/>
      <c r="GK24" s="596"/>
      <c r="GL24" s="596"/>
      <c r="GM24" s="596"/>
      <c r="GN24" s="596"/>
      <c r="GO24" s="596"/>
      <c r="GP24" s="596"/>
      <c r="GQ24" s="596"/>
      <c r="GR24" s="596"/>
      <c r="GS24" s="596"/>
      <c r="GT24" s="596"/>
      <c r="GU24" s="596"/>
      <c r="GV24" s="596"/>
      <c r="GW24" s="596"/>
      <c r="GX24" s="596"/>
      <c r="GY24" s="596"/>
      <c r="GZ24" s="596"/>
      <c r="HA24" s="596"/>
      <c r="HB24" s="596"/>
      <c r="HC24" s="596"/>
      <c r="HD24" s="596"/>
      <c r="HE24" s="596"/>
      <c r="HF24" s="596"/>
      <c r="HG24" s="596"/>
      <c r="HH24" s="596"/>
      <c r="HI24" s="596"/>
      <c r="HJ24" s="596"/>
      <c r="HK24" s="596"/>
      <c r="HL24" s="596"/>
      <c r="HM24" s="596"/>
      <c r="HN24" s="596"/>
      <c r="HO24" s="596"/>
      <c r="HP24" s="596"/>
      <c r="HQ24" s="596"/>
      <c r="HR24" s="596"/>
      <c r="HS24" s="596"/>
      <c r="HT24" s="596"/>
      <c r="HU24" s="596"/>
      <c r="HV24" s="596"/>
      <c r="HW24" s="596"/>
      <c r="HX24" s="596"/>
      <c r="HY24" s="596"/>
      <c r="HZ24" s="596"/>
      <c r="IA24" s="596"/>
      <c r="IB24" s="596"/>
      <c r="IC24" s="596"/>
      <c r="ID24" s="596"/>
      <c r="IE24" s="596"/>
      <c r="IF24" s="596"/>
      <c r="IG24" s="596"/>
      <c r="IH24" s="596"/>
      <c r="II24" s="596"/>
      <c r="IJ24" s="596"/>
      <c r="IK24" s="596"/>
      <c r="IL24" s="596"/>
      <c r="IM24" s="596"/>
      <c r="IN24" s="596"/>
      <c r="IO24" s="596"/>
      <c r="IP24" s="596"/>
      <c r="IQ24" s="596"/>
      <c r="IR24" s="596"/>
      <c r="IS24" s="596"/>
      <c r="IT24" s="596"/>
      <c r="IU24" s="596"/>
      <c r="IV24" s="596"/>
    </row>
    <row r="25" spans="1:256">
      <c r="A25" s="600">
        <f t="shared" si="2"/>
        <v>12</v>
      </c>
      <c r="B25" s="597" t="s">
        <v>323</v>
      </c>
      <c r="C25" s="609">
        <f t="shared" si="3"/>
        <v>0</v>
      </c>
      <c r="D25" s="609">
        <f t="shared" si="5"/>
        <v>0</v>
      </c>
      <c r="E25" s="597">
        <v>31</v>
      </c>
      <c r="F25" s="443">
        <v>154</v>
      </c>
      <c r="G25" s="610">
        <f t="shared" si="0"/>
        <v>0.42191780821917807</v>
      </c>
      <c r="H25" s="609">
        <f t="shared" si="1"/>
        <v>0</v>
      </c>
      <c r="I25" s="609">
        <f t="shared" si="4"/>
        <v>0</v>
      </c>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6"/>
      <c r="BW25" s="596"/>
      <c r="BX25" s="596"/>
      <c r="BY25" s="596"/>
      <c r="BZ25" s="596"/>
      <c r="CA25" s="596"/>
      <c r="CB25" s="596"/>
      <c r="CC25" s="596"/>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596"/>
      <c r="ES25" s="596"/>
      <c r="ET25" s="596"/>
      <c r="EU25" s="596"/>
      <c r="EV25" s="596"/>
      <c r="EW25" s="596"/>
      <c r="EX25" s="596"/>
      <c r="EY25" s="596"/>
      <c r="EZ25" s="596"/>
      <c r="FA25" s="596"/>
      <c r="FB25" s="596"/>
      <c r="FC25" s="596"/>
      <c r="FD25" s="596"/>
      <c r="FE25" s="596"/>
      <c r="FF25" s="596"/>
      <c r="FG25" s="596"/>
      <c r="FH25" s="596"/>
      <c r="FI25" s="596"/>
      <c r="FJ25" s="596"/>
      <c r="FK25" s="596"/>
      <c r="FL25" s="596"/>
      <c r="FM25" s="596"/>
      <c r="FN25" s="596"/>
      <c r="FO25" s="596"/>
      <c r="FP25" s="596"/>
      <c r="FQ25" s="596"/>
      <c r="FR25" s="596"/>
      <c r="FS25" s="596"/>
      <c r="FT25" s="596"/>
      <c r="FU25" s="596"/>
      <c r="FV25" s="596"/>
      <c r="FW25" s="596"/>
      <c r="FX25" s="596"/>
      <c r="FY25" s="596"/>
      <c r="FZ25" s="596"/>
      <c r="GA25" s="596"/>
      <c r="GB25" s="596"/>
      <c r="GC25" s="596"/>
      <c r="GD25" s="596"/>
      <c r="GE25" s="596"/>
      <c r="GF25" s="596"/>
      <c r="GG25" s="596"/>
      <c r="GH25" s="596"/>
      <c r="GI25" s="596"/>
      <c r="GJ25" s="596"/>
      <c r="GK25" s="596"/>
      <c r="GL25" s="596"/>
      <c r="GM25" s="596"/>
      <c r="GN25" s="596"/>
      <c r="GO25" s="596"/>
      <c r="GP25" s="596"/>
      <c r="GQ25" s="596"/>
      <c r="GR25" s="596"/>
      <c r="GS25" s="596"/>
      <c r="GT25" s="596"/>
      <c r="GU25" s="596"/>
      <c r="GV25" s="596"/>
      <c r="GW25" s="596"/>
      <c r="GX25" s="596"/>
      <c r="GY25" s="596"/>
      <c r="GZ25" s="596"/>
      <c r="HA25" s="596"/>
      <c r="HB25" s="596"/>
      <c r="HC25" s="596"/>
      <c r="HD25" s="596"/>
      <c r="HE25" s="596"/>
      <c r="HF25" s="596"/>
      <c r="HG25" s="596"/>
      <c r="HH25" s="596"/>
      <c r="HI25" s="596"/>
      <c r="HJ25" s="596"/>
      <c r="HK25" s="596"/>
      <c r="HL25" s="596"/>
      <c r="HM25" s="596"/>
      <c r="HN25" s="596"/>
      <c r="HO25" s="596"/>
      <c r="HP25" s="596"/>
      <c r="HQ25" s="596"/>
      <c r="HR25" s="596"/>
      <c r="HS25" s="596"/>
      <c r="HT25" s="596"/>
      <c r="HU25" s="596"/>
      <c r="HV25" s="596"/>
      <c r="HW25" s="596"/>
      <c r="HX25" s="596"/>
      <c r="HY25" s="596"/>
      <c r="HZ25" s="596"/>
      <c r="IA25" s="596"/>
      <c r="IB25" s="596"/>
      <c r="IC25" s="596"/>
      <c r="ID25" s="596"/>
      <c r="IE25" s="596"/>
      <c r="IF25" s="596"/>
      <c r="IG25" s="596"/>
      <c r="IH25" s="596"/>
      <c r="II25" s="596"/>
      <c r="IJ25" s="596"/>
      <c r="IK25" s="596"/>
      <c r="IL25" s="596"/>
      <c r="IM25" s="596"/>
      <c r="IN25" s="596"/>
      <c r="IO25" s="596"/>
      <c r="IP25" s="596"/>
      <c r="IQ25" s="596"/>
      <c r="IR25" s="596"/>
      <c r="IS25" s="596"/>
      <c r="IT25" s="596"/>
      <c r="IU25" s="596"/>
      <c r="IV25" s="596"/>
    </row>
    <row r="26" spans="1:256">
      <c r="A26" s="600">
        <f t="shared" si="2"/>
        <v>13</v>
      </c>
      <c r="B26" s="597" t="s">
        <v>324</v>
      </c>
      <c r="C26" s="609">
        <f t="shared" si="3"/>
        <v>0</v>
      </c>
      <c r="D26" s="609">
        <f t="shared" si="5"/>
        <v>0</v>
      </c>
      <c r="E26" s="597">
        <v>31</v>
      </c>
      <c r="F26" s="443">
        <v>123</v>
      </c>
      <c r="G26" s="610">
        <f t="shared" si="0"/>
        <v>0.33698630136986302</v>
      </c>
      <c r="H26" s="609">
        <f t="shared" si="1"/>
        <v>0</v>
      </c>
      <c r="I26" s="609">
        <f t="shared" si="4"/>
        <v>0</v>
      </c>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6"/>
      <c r="BO26" s="596"/>
      <c r="BP26" s="596"/>
      <c r="BQ26" s="596"/>
      <c r="BR26" s="596"/>
      <c r="BS26" s="596"/>
      <c r="BT26" s="596"/>
      <c r="BU26" s="596"/>
      <c r="BV26" s="596"/>
      <c r="BW26" s="596"/>
      <c r="BX26" s="596"/>
      <c r="BY26" s="596"/>
      <c r="BZ26" s="596"/>
      <c r="CA26" s="596"/>
      <c r="CB26" s="596"/>
      <c r="CC26" s="596"/>
      <c r="CD26" s="596"/>
      <c r="CE26" s="596"/>
      <c r="CF26" s="596"/>
      <c r="CG26" s="596"/>
      <c r="CH26" s="596"/>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596"/>
      <c r="ES26" s="596"/>
      <c r="ET26" s="596"/>
      <c r="EU26" s="596"/>
      <c r="EV26" s="596"/>
      <c r="EW26" s="596"/>
      <c r="EX26" s="596"/>
      <c r="EY26" s="596"/>
      <c r="EZ26" s="596"/>
      <c r="FA26" s="596"/>
      <c r="FB26" s="596"/>
      <c r="FC26" s="596"/>
      <c r="FD26" s="596"/>
      <c r="FE26" s="596"/>
      <c r="FF26" s="596"/>
      <c r="FG26" s="596"/>
      <c r="FH26" s="596"/>
      <c r="FI26" s="596"/>
      <c r="FJ26" s="596"/>
      <c r="FK26" s="596"/>
      <c r="FL26" s="596"/>
      <c r="FM26" s="596"/>
      <c r="FN26" s="596"/>
      <c r="FO26" s="596"/>
      <c r="FP26" s="596"/>
      <c r="FQ26" s="596"/>
      <c r="FR26" s="596"/>
      <c r="FS26" s="596"/>
      <c r="FT26" s="596"/>
      <c r="FU26" s="596"/>
      <c r="FV26" s="596"/>
      <c r="FW26" s="596"/>
      <c r="FX26" s="596"/>
      <c r="FY26" s="596"/>
      <c r="FZ26" s="596"/>
      <c r="GA26" s="596"/>
      <c r="GB26" s="596"/>
      <c r="GC26" s="596"/>
      <c r="GD26" s="596"/>
      <c r="GE26" s="596"/>
      <c r="GF26" s="596"/>
      <c r="GG26" s="596"/>
      <c r="GH26" s="596"/>
      <c r="GI26" s="596"/>
      <c r="GJ26" s="596"/>
      <c r="GK26" s="596"/>
      <c r="GL26" s="596"/>
      <c r="GM26" s="596"/>
      <c r="GN26" s="596"/>
      <c r="GO26" s="596"/>
      <c r="GP26" s="596"/>
      <c r="GQ26" s="596"/>
      <c r="GR26" s="596"/>
      <c r="GS26" s="596"/>
      <c r="GT26" s="596"/>
      <c r="GU26" s="596"/>
      <c r="GV26" s="596"/>
      <c r="GW26" s="596"/>
      <c r="GX26" s="596"/>
      <c r="GY26" s="596"/>
      <c r="GZ26" s="596"/>
      <c r="HA26" s="596"/>
      <c r="HB26" s="596"/>
      <c r="HC26" s="596"/>
      <c r="HD26" s="596"/>
      <c r="HE26" s="596"/>
      <c r="HF26" s="596"/>
      <c r="HG26" s="596"/>
      <c r="HH26" s="596"/>
      <c r="HI26" s="596"/>
      <c r="HJ26" s="596"/>
      <c r="HK26" s="596"/>
      <c r="HL26" s="596"/>
      <c r="HM26" s="596"/>
      <c r="HN26" s="596"/>
      <c r="HO26" s="596"/>
      <c r="HP26" s="596"/>
      <c r="HQ26" s="596"/>
      <c r="HR26" s="596"/>
      <c r="HS26" s="596"/>
      <c r="HT26" s="596"/>
      <c r="HU26" s="596"/>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596"/>
      <c r="IU26" s="596"/>
      <c r="IV26" s="596"/>
    </row>
    <row r="27" spans="1:256">
      <c r="A27" s="600">
        <f t="shared" si="2"/>
        <v>14</v>
      </c>
      <c r="B27" s="597" t="s">
        <v>326</v>
      </c>
      <c r="C27" s="609">
        <f t="shared" si="3"/>
        <v>0</v>
      </c>
      <c r="D27" s="609">
        <f t="shared" si="5"/>
        <v>0</v>
      </c>
      <c r="E27" s="597">
        <v>30</v>
      </c>
      <c r="F27" s="443">
        <v>93</v>
      </c>
      <c r="G27" s="610">
        <f t="shared" si="0"/>
        <v>0.25479452054794521</v>
      </c>
      <c r="H27" s="609">
        <f t="shared" si="1"/>
        <v>0</v>
      </c>
      <c r="I27" s="609">
        <f t="shared" si="4"/>
        <v>0</v>
      </c>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6"/>
      <c r="BS27" s="596"/>
      <c r="BT27" s="596"/>
      <c r="BU27" s="596"/>
      <c r="BV27" s="596"/>
      <c r="BW27" s="596"/>
      <c r="BX27" s="596"/>
      <c r="BY27" s="596"/>
      <c r="BZ27" s="596"/>
      <c r="CA27" s="596"/>
      <c r="CB27" s="596"/>
      <c r="CC27" s="596"/>
      <c r="CD27" s="596"/>
      <c r="CE27" s="596"/>
      <c r="CF27" s="596"/>
      <c r="CG27" s="596"/>
      <c r="CH27" s="596"/>
      <c r="CI27" s="596"/>
      <c r="CJ27" s="596"/>
      <c r="CK27" s="596"/>
      <c r="CL27" s="596"/>
      <c r="CM27" s="596"/>
      <c r="CN27" s="596"/>
      <c r="CO27" s="596"/>
      <c r="CP27" s="596"/>
      <c r="CQ27" s="596"/>
      <c r="CR27" s="596"/>
      <c r="CS27" s="596"/>
      <c r="CT27" s="596"/>
      <c r="CU27" s="596"/>
      <c r="CV27" s="596"/>
      <c r="CW27" s="596"/>
      <c r="CX27" s="596"/>
      <c r="CY27" s="596"/>
      <c r="CZ27" s="596"/>
      <c r="DA27" s="596"/>
      <c r="DB27" s="596"/>
      <c r="DC27" s="596"/>
      <c r="DD27" s="596"/>
      <c r="DE27" s="596"/>
      <c r="DF27" s="596"/>
      <c r="DG27" s="596"/>
      <c r="DH27" s="596"/>
      <c r="DI27" s="596"/>
      <c r="DJ27" s="596"/>
      <c r="DK27" s="596"/>
      <c r="DL27" s="596"/>
      <c r="DM27" s="596"/>
      <c r="DN27" s="596"/>
      <c r="DO27" s="596"/>
      <c r="DP27" s="596"/>
      <c r="DQ27" s="596"/>
      <c r="DR27" s="596"/>
      <c r="DS27" s="596"/>
      <c r="DT27" s="596"/>
      <c r="DU27" s="596"/>
      <c r="DV27" s="596"/>
      <c r="DW27" s="596"/>
      <c r="DX27" s="596"/>
      <c r="DY27" s="596"/>
      <c r="DZ27" s="596"/>
      <c r="EA27" s="596"/>
      <c r="EB27" s="596"/>
      <c r="EC27" s="596"/>
      <c r="ED27" s="596"/>
      <c r="EE27" s="596"/>
      <c r="EF27" s="596"/>
      <c r="EG27" s="596"/>
      <c r="EH27" s="596"/>
      <c r="EI27" s="596"/>
      <c r="EJ27" s="596"/>
      <c r="EK27" s="596"/>
      <c r="EL27" s="596"/>
      <c r="EM27" s="596"/>
      <c r="EN27" s="596"/>
      <c r="EO27" s="596"/>
      <c r="EP27" s="596"/>
      <c r="EQ27" s="596"/>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6"/>
      <c r="FR27" s="596"/>
      <c r="FS27" s="596"/>
      <c r="FT27" s="596"/>
      <c r="FU27" s="596"/>
      <c r="FV27" s="596"/>
      <c r="FW27" s="596"/>
      <c r="FX27" s="596"/>
      <c r="FY27" s="596"/>
      <c r="FZ27" s="596"/>
      <c r="GA27" s="596"/>
      <c r="GB27" s="596"/>
      <c r="GC27" s="596"/>
      <c r="GD27" s="596"/>
      <c r="GE27" s="596"/>
      <c r="GF27" s="596"/>
      <c r="GG27" s="596"/>
      <c r="GH27" s="596"/>
      <c r="GI27" s="596"/>
      <c r="GJ27" s="596"/>
      <c r="GK27" s="596"/>
      <c r="GL27" s="596"/>
      <c r="GM27" s="596"/>
      <c r="GN27" s="596"/>
      <c r="GO27" s="596"/>
      <c r="GP27" s="596"/>
      <c r="GQ27" s="596"/>
      <c r="GR27" s="596"/>
      <c r="GS27" s="596"/>
      <c r="GT27" s="596"/>
      <c r="GU27" s="596"/>
      <c r="GV27" s="596"/>
      <c r="GW27" s="596"/>
      <c r="GX27" s="596"/>
      <c r="GY27" s="596"/>
      <c r="GZ27" s="596"/>
      <c r="HA27" s="596"/>
      <c r="HB27" s="596"/>
      <c r="HC27" s="596"/>
      <c r="HD27" s="596"/>
      <c r="HE27" s="596"/>
      <c r="HF27" s="596"/>
      <c r="HG27" s="596"/>
      <c r="HH27" s="596"/>
      <c r="HI27" s="596"/>
      <c r="HJ27" s="596"/>
      <c r="HK27" s="596"/>
      <c r="HL27" s="596"/>
      <c r="HM27" s="596"/>
      <c r="HN27" s="596"/>
      <c r="HO27" s="596"/>
      <c r="HP27" s="596"/>
      <c r="HQ27" s="596"/>
      <c r="HR27" s="596"/>
      <c r="HS27" s="596"/>
      <c r="HT27" s="596"/>
      <c r="HU27" s="596"/>
      <c r="HV27" s="596"/>
      <c r="HW27" s="596"/>
      <c r="HX27" s="596"/>
      <c r="HY27" s="596"/>
      <c r="HZ27" s="596"/>
      <c r="IA27" s="596"/>
      <c r="IB27" s="596"/>
      <c r="IC27" s="596"/>
      <c r="ID27" s="596"/>
      <c r="IE27" s="596"/>
      <c r="IF27" s="596"/>
      <c r="IG27" s="596"/>
      <c r="IH27" s="596"/>
      <c r="II27" s="596"/>
      <c r="IJ27" s="596"/>
      <c r="IK27" s="596"/>
      <c r="IL27" s="596"/>
      <c r="IM27" s="596"/>
      <c r="IN27" s="596"/>
      <c r="IO27" s="596"/>
      <c r="IP27" s="596"/>
      <c r="IQ27" s="596"/>
      <c r="IR27" s="596"/>
      <c r="IS27" s="596"/>
      <c r="IT27" s="596"/>
      <c r="IU27" s="596"/>
      <c r="IV27" s="596"/>
    </row>
    <row r="28" spans="1:256">
      <c r="A28" s="600">
        <f t="shared" si="2"/>
        <v>15</v>
      </c>
      <c r="B28" s="597" t="s">
        <v>513</v>
      </c>
      <c r="C28" s="609">
        <f t="shared" si="3"/>
        <v>0</v>
      </c>
      <c r="D28" s="609">
        <f t="shared" si="5"/>
        <v>0</v>
      </c>
      <c r="E28" s="597">
        <v>31</v>
      </c>
      <c r="F28" s="443">
        <v>62</v>
      </c>
      <c r="G28" s="610">
        <f t="shared" si="0"/>
        <v>0.16986301369863013</v>
      </c>
      <c r="H28" s="609">
        <f t="shared" si="1"/>
        <v>0</v>
      </c>
      <c r="I28" s="609">
        <f t="shared" si="4"/>
        <v>0</v>
      </c>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596"/>
      <c r="BU28" s="596"/>
      <c r="BV28" s="596"/>
      <c r="BW28" s="596"/>
      <c r="BX28" s="596"/>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596"/>
      <c r="FA28" s="596"/>
      <c r="FB28" s="596"/>
      <c r="FC28" s="596"/>
      <c r="FD28" s="596"/>
      <c r="FE28" s="596"/>
      <c r="FF28" s="596"/>
      <c r="FG28" s="596"/>
      <c r="FH28" s="596"/>
      <c r="FI28" s="596"/>
      <c r="FJ28" s="596"/>
      <c r="FK28" s="596"/>
      <c r="FL28" s="596"/>
      <c r="FM28" s="596"/>
      <c r="FN28" s="596"/>
      <c r="FO28" s="596"/>
      <c r="FP28" s="596"/>
      <c r="FQ28" s="596"/>
      <c r="FR28" s="596"/>
      <c r="FS28" s="596"/>
      <c r="FT28" s="596"/>
      <c r="FU28" s="596"/>
      <c r="FV28" s="596"/>
      <c r="FW28" s="596"/>
      <c r="FX28" s="596"/>
      <c r="FY28" s="596"/>
      <c r="FZ28" s="596"/>
      <c r="GA28" s="596"/>
      <c r="GB28" s="596"/>
      <c r="GC28" s="596"/>
      <c r="GD28" s="596"/>
      <c r="GE28" s="596"/>
      <c r="GF28" s="596"/>
      <c r="GG28" s="596"/>
      <c r="GH28" s="596"/>
      <c r="GI28" s="596"/>
      <c r="GJ28" s="596"/>
      <c r="GK28" s="596"/>
      <c r="GL28" s="596"/>
      <c r="GM28" s="596"/>
      <c r="GN28" s="596"/>
      <c r="GO28" s="596"/>
      <c r="GP28" s="596"/>
      <c r="GQ28" s="596"/>
      <c r="GR28" s="596"/>
      <c r="GS28" s="596"/>
      <c r="GT28" s="596"/>
      <c r="GU28" s="596"/>
      <c r="GV28" s="596"/>
      <c r="GW28" s="596"/>
      <c r="GX28" s="596"/>
      <c r="GY28" s="596"/>
      <c r="GZ28" s="596"/>
      <c r="HA28" s="596"/>
      <c r="HB28" s="596"/>
      <c r="HC28" s="596"/>
      <c r="HD28" s="596"/>
      <c r="HE28" s="596"/>
      <c r="HF28" s="596"/>
      <c r="HG28" s="596"/>
      <c r="HH28" s="596"/>
      <c r="HI28" s="596"/>
      <c r="HJ28" s="596"/>
      <c r="HK28" s="596"/>
      <c r="HL28" s="596"/>
      <c r="HM28" s="596"/>
      <c r="HN28" s="596"/>
      <c r="HO28" s="596"/>
      <c r="HP28" s="596"/>
      <c r="HQ28" s="596"/>
      <c r="HR28" s="596"/>
      <c r="HS28" s="596"/>
      <c r="HT28" s="596"/>
      <c r="HU28" s="596"/>
      <c r="HV28" s="596"/>
      <c r="HW28" s="596"/>
      <c r="HX28" s="596"/>
      <c r="HY28" s="596"/>
      <c r="HZ28" s="596"/>
      <c r="IA28" s="596"/>
      <c r="IB28" s="596"/>
      <c r="IC28" s="596"/>
      <c r="ID28" s="596"/>
      <c r="IE28" s="596"/>
      <c r="IF28" s="596"/>
      <c r="IG28" s="596"/>
      <c r="IH28" s="596"/>
      <c r="II28" s="596"/>
      <c r="IJ28" s="596"/>
      <c r="IK28" s="596"/>
      <c r="IL28" s="596"/>
      <c r="IM28" s="596"/>
      <c r="IN28" s="596"/>
      <c r="IO28" s="596"/>
      <c r="IP28" s="596"/>
      <c r="IQ28" s="596"/>
      <c r="IR28" s="596"/>
      <c r="IS28" s="596"/>
      <c r="IT28" s="596"/>
      <c r="IU28" s="596"/>
      <c r="IV28" s="596"/>
    </row>
    <row r="29" spans="1:256">
      <c r="A29" s="600">
        <f t="shared" si="2"/>
        <v>16</v>
      </c>
      <c r="B29" s="597" t="s">
        <v>514</v>
      </c>
      <c r="C29" s="609">
        <f t="shared" si="3"/>
        <v>0</v>
      </c>
      <c r="D29" s="609">
        <f t="shared" si="5"/>
        <v>0</v>
      </c>
      <c r="E29" s="597">
        <v>30</v>
      </c>
      <c r="F29" s="443">
        <v>32</v>
      </c>
      <c r="G29" s="610">
        <f t="shared" si="0"/>
        <v>8.7671232876712329E-2</v>
      </c>
      <c r="H29" s="609">
        <f t="shared" si="1"/>
        <v>0</v>
      </c>
      <c r="I29" s="609">
        <f t="shared" si="4"/>
        <v>0</v>
      </c>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c r="BV29" s="596"/>
      <c r="BW29" s="596"/>
      <c r="BX29" s="596"/>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596"/>
      <c r="EA29" s="596"/>
      <c r="EB29" s="596"/>
      <c r="EC29" s="596"/>
      <c r="ED29" s="596"/>
      <c r="EE29" s="596"/>
      <c r="EF29" s="596"/>
      <c r="EG29" s="596"/>
      <c r="EH29" s="596"/>
      <c r="EI29" s="596"/>
      <c r="EJ29" s="596"/>
      <c r="EK29" s="596"/>
      <c r="EL29" s="596"/>
      <c r="EM29" s="596"/>
      <c r="EN29" s="596"/>
      <c r="EO29" s="596"/>
      <c r="EP29" s="596"/>
      <c r="EQ29" s="596"/>
      <c r="ER29" s="596"/>
      <c r="ES29" s="596"/>
      <c r="ET29" s="596"/>
      <c r="EU29" s="596"/>
      <c r="EV29" s="596"/>
      <c r="EW29" s="596"/>
      <c r="EX29" s="596"/>
      <c r="EY29" s="596"/>
      <c r="EZ29" s="596"/>
      <c r="FA29" s="596"/>
      <c r="FB29" s="596"/>
      <c r="FC29" s="596"/>
      <c r="FD29" s="596"/>
      <c r="FE29" s="596"/>
      <c r="FF29" s="596"/>
      <c r="FG29" s="596"/>
      <c r="FH29" s="596"/>
      <c r="FI29" s="596"/>
      <c r="FJ29" s="596"/>
      <c r="FK29" s="596"/>
      <c r="FL29" s="596"/>
      <c r="FM29" s="596"/>
      <c r="FN29" s="596"/>
      <c r="FO29" s="596"/>
      <c r="FP29" s="596"/>
      <c r="FQ29" s="596"/>
      <c r="FR29" s="596"/>
      <c r="FS29" s="596"/>
      <c r="FT29" s="596"/>
      <c r="FU29" s="596"/>
      <c r="FV29" s="596"/>
      <c r="FW29" s="596"/>
      <c r="FX29" s="596"/>
      <c r="FY29" s="596"/>
      <c r="FZ29" s="596"/>
      <c r="GA29" s="596"/>
      <c r="GB29" s="596"/>
      <c r="GC29" s="596"/>
      <c r="GD29" s="596"/>
      <c r="GE29" s="596"/>
      <c r="GF29" s="596"/>
      <c r="GG29" s="596"/>
      <c r="GH29" s="596"/>
      <c r="GI29" s="596"/>
      <c r="GJ29" s="596"/>
      <c r="GK29" s="596"/>
      <c r="GL29" s="596"/>
      <c r="GM29" s="596"/>
      <c r="GN29" s="596"/>
      <c r="GO29" s="596"/>
      <c r="GP29" s="596"/>
      <c r="GQ29" s="596"/>
      <c r="GR29" s="596"/>
      <c r="GS29" s="596"/>
      <c r="GT29" s="596"/>
      <c r="GU29" s="596"/>
      <c r="GV29" s="596"/>
      <c r="GW29" s="596"/>
      <c r="GX29" s="596"/>
      <c r="GY29" s="596"/>
      <c r="GZ29" s="596"/>
      <c r="HA29" s="596"/>
      <c r="HB29" s="596"/>
      <c r="HC29" s="596"/>
      <c r="HD29" s="596"/>
      <c r="HE29" s="596"/>
      <c r="HF29" s="596"/>
      <c r="HG29" s="596"/>
      <c r="HH29" s="596"/>
      <c r="HI29" s="596"/>
      <c r="HJ29" s="596"/>
      <c r="HK29" s="596"/>
      <c r="HL29" s="596"/>
      <c r="HM29" s="596"/>
      <c r="HN29" s="596"/>
      <c r="HO29" s="596"/>
      <c r="HP29" s="596"/>
      <c r="HQ29" s="596"/>
      <c r="HR29" s="596"/>
      <c r="HS29" s="596"/>
      <c r="HT29" s="596"/>
      <c r="HU29" s="596"/>
      <c r="HV29" s="596"/>
      <c r="HW29" s="596"/>
      <c r="HX29" s="596"/>
      <c r="HY29" s="596"/>
      <c r="HZ29" s="596"/>
      <c r="IA29" s="596"/>
      <c r="IB29" s="596"/>
      <c r="IC29" s="596"/>
      <c r="ID29" s="596"/>
      <c r="IE29" s="596"/>
      <c r="IF29" s="596"/>
      <c r="IG29" s="596"/>
      <c r="IH29" s="596"/>
      <c r="II29" s="596"/>
      <c r="IJ29" s="596"/>
      <c r="IK29" s="596"/>
      <c r="IL29" s="596"/>
      <c r="IM29" s="596"/>
      <c r="IN29" s="596"/>
      <c r="IO29" s="596"/>
      <c r="IP29" s="596"/>
      <c r="IQ29" s="596"/>
      <c r="IR29" s="596"/>
      <c r="IS29" s="596"/>
      <c r="IT29" s="596"/>
      <c r="IU29" s="596"/>
      <c r="IV29" s="596"/>
    </row>
    <row r="30" spans="1:256">
      <c r="A30" s="600">
        <f t="shared" si="2"/>
        <v>17</v>
      </c>
      <c r="B30" s="597" t="s">
        <v>325</v>
      </c>
      <c r="C30" s="609">
        <f t="shared" si="3"/>
        <v>0</v>
      </c>
      <c r="D30" s="609">
        <f t="shared" si="5"/>
        <v>0</v>
      </c>
      <c r="E30" s="597">
        <v>31</v>
      </c>
      <c r="F30" s="443">
        <f>F29-E30</f>
        <v>1</v>
      </c>
      <c r="G30" s="610">
        <f t="shared" si="0"/>
        <v>2.7397260273972603E-3</v>
      </c>
      <c r="H30" s="609">
        <f t="shared" si="1"/>
        <v>0</v>
      </c>
      <c r="I30" s="609">
        <f t="shared" si="4"/>
        <v>0</v>
      </c>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6"/>
      <c r="DV30" s="596"/>
      <c r="DW30" s="596"/>
      <c r="DX30" s="596"/>
      <c r="DY30" s="596"/>
      <c r="DZ30" s="596"/>
      <c r="EA30" s="596"/>
      <c r="EB30" s="596"/>
      <c r="EC30" s="596"/>
      <c r="ED30" s="596"/>
      <c r="EE30" s="596"/>
      <c r="EF30" s="596"/>
      <c r="EG30" s="596"/>
      <c r="EH30" s="596"/>
      <c r="EI30" s="596"/>
      <c r="EJ30" s="596"/>
      <c r="EK30" s="596"/>
      <c r="EL30" s="596"/>
      <c r="EM30" s="596"/>
      <c r="EN30" s="596"/>
      <c r="EO30" s="596"/>
      <c r="EP30" s="596"/>
      <c r="EQ30" s="596"/>
      <c r="ER30" s="596"/>
      <c r="ES30" s="596"/>
      <c r="ET30" s="596"/>
      <c r="EU30" s="596"/>
      <c r="EV30" s="596"/>
      <c r="EW30" s="596"/>
      <c r="EX30" s="596"/>
      <c r="EY30" s="596"/>
      <c r="EZ30" s="596"/>
      <c r="FA30" s="596"/>
      <c r="FB30" s="596"/>
      <c r="FC30" s="596"/>
      <c r="FD30" s="596"/>
      <c r="FE30" s="596"/>
      <c r="FF30" s="596"/>
      <c r="FG30" s="596"/>
      <c r="FH30" s="596"/>
      <c r="FI30" s="596"/>
      <c r="FJ30" s="596"/>
      <c r="FK30" s="596"/>
      <c r="FL30" s="596"/>
      <c r="FM30" s="596"/>
      <c r="FN30" s="596"/>
      <c r="FO30" s="596"/>
      <c r="FP30" s="596"/>
      <c r="FQ30" s="596"/>
      <c r="FR30" s="596"/>
      <c r="FS30" s="596"/>
      <c r="FT30" s="596"/>
      <c r="FU30" s="596"/>
      <c r="FV30" s="596"/>
      <c r="FW30" s="596"/>
      <c r="FX30" s="596"/>
      <c r="FY30" s="596"/>
      <c r="FZ30" s="596"/>
      <c r="GA30" s="596"/>
      <c r="GB30" s="596"/>
      <c r="GC30" s="596"/>
      <c r="GD30" s="596"/>
      <c r="GE30" s="596"/>
      <c r="GF30" s="596"/>
      <c r="GG30" s="596"/>
      <c r="GH30" s="596"/>
      <c r="GI30" s="596"/>
      <c r="GJ30" s="596"/>
      <c r="GK30" s="596"/>
      <c r="GL30" s="596"/>
      <c r="GM30" s="596"/>
      <c r="GN30" s="596"/>
      <c r="GO30" s="596"/>
      <c r="GP30" s="596"/>
      <c r="GQ30" s="596"/>
      <c r="GR30" s="596"/>
      <c r="GS30" s="596"/>
      <c r="GT30" s="596"/>
      <c r="GU30" s="596"/>
      <c r="GV30" s="596"/>
      <c r="GW30" s="596"/>
      <c r="GX30" s="596"/>
      <c r="GY30" s="596"/>
      <c r="GZ30" s="596"/>
      <c r="HA30" s="596"/>
      <c r="HB30" s="596"/>
      <c r="HC30" s="596"/>
      <c r="HD30" s="596"/>
      <c r="HE30" s="596"/>
      <c r="HF30" s="596"/>
      <c r="HG30" s="596"/>
      <c r="HH30" s="596"/>
      <c r="HI30" s="596"/>
      <c r="HJ30" s="596"/>
      <c r="HK30" s="596"/>
      <c r="HL30" s="596"/>
      <c r="HM30" s="596"/>
      <c r="HN30" s="596"/>
      <c r="HO30" s="596"/>
      <c r="HP30" s="596"/>
      <c r="HQ30" s="596"/>
      <c r="HR30" s="596"/>
      <c r="HS30" s="596"/>
      <c r="HT30" s="596"/>
      <c r="HU30" s="596"/>
      <c r="HV30" s="596"/>
      <c r="HW30" s="596"/>
      <c r="HX30" s="596"/>
      <c r="HY30" s="596"/>
      <c r="HZ30" s="596"/>
      <c r="IA30" s="596"/>
      <c r="IB30" s="596"/>
      <c r="IC30" s="596"/>
      <c r="ID30" s="596"/>
      <c r="IE30" s="596"/>
      <c r="IF30" s="596"/>
      <c r="IG30" s="596"/>
      <c r="IH30" s="596"/>
      <c r="II30" s="596"/>
      <c r="IJ30" s="596"/>
      <c r="IK30" s="596"/>
      <c r="IL30" s="596"/>
      <c r="IM30" s="596"/>
      <c r="IN30" s="596"/>
      <c r="IO30" s="596"/>
      <c r="IP30" s="596"/>
      <c r="IQ30" s="596"/>
      <c r="IR30" s="596"/>
      <c r="IS30" s="596"/>
      <c r="IT30" s="596"/>
      <c r="IU30" s="596"/>
      <c r="IV30" s="596"/>
    </row>
    <row r="31" spans="1:256">
      <c r="A31" s="600"/>
      <c r="B31" s="597"/>
      <c r="C31" s="611"/>
      <c r="D31" s="611"/>
      <c r="E31" s="597"/>
      <c r="F31" s="597"/>
      <c r="G31" s="597"/>
      <c r="H31" s="611"/>
      <c r="I31" s="611"/>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c r="DR31" s="596"/>
      <c r="DS31" s="596"/>
      <c r="DT31" s="596"/>
      <c r="DU31" s="596"/>
      <c r="DV31" s="596"/>
      <c r="DW31" s="596"/>
      <c r="DX31" s="596"/>
      <c r="DY31" s="596"/>
      <c r="DZ31" s="596"/>
      <c r="EA31" s="596"/>
      <c r="EB31" s="596"/>
      <c r="EC31" s="596"/>
      <c r="ED31" s="596"/>
      <c r="EE31" s="596"/>
      <c r="EF31" s="596"/>
      <c r="EG31" s="596"/>
      <c r="EH31" s="596"/>
      <c r="EI31" s="596"/>
      <c r="EJ31" s="596"/>
      <c r="EK31" s="596"/>
      <c r="EL31" s="596"/>
      <c r="EM31" s="596"/>
      <c r="EN31" s="596"/>
      <c r="EO31" s="596"/>
      <c r="EP31" s="596"/>
      <c r="EQ31" s="596"/>
      <c r="ER31" s="596"/>
      <c r="ES31" s="596"/>
      <c r="ET31" s="596"/>
      <c r="EU31" s="596"/>
      <c r="EV31" s="596"/>
      <c r="EW31" s="596"/>
      <c r="EX31" s="596"/>
      <c r="EY31" s="596"/>
      <c r="EZ31" s="596"/>
      <c r="FA31" s="596"/>
      <c r="FB31" s="596"/>
      <c r="FC31" s="596"/>
      <c r="FD31" s="596"/>
      <c r="FE31" s="596"/>
      <c r="FF31" s="596"/>
      <c r="FG31" s="596"/>
      <c r="FH31" s="596"/>
      <c r="FI31" s="596"/>
      <c r="FJ31" s="596"/>
      <c r="FK31" s="596"/>
      <c r="FL31" s="596"/>
      <c r="FM31" s="596"/>
      <c r="FN31" s="596"/>
      <c r="FO31" s="596"/>
      <c r="FP31" s="596"/>
      <c r="FQ31" s="596"/>
      <c r="FR31" s="596"/>
      <c r="FS31" s="596"/>
      <c r="FT31" s="596"/>
      <c r="FU31" s="596"/>
      <c r="FV31" s="596"/>
      <c r="FW31" s="596"/>
      <c r="FX31" s="596"/>
      <c r="FY31" s="596"/>
      <c r="FZ31" s="596"/>
      <c r="GA31" s="596"/>
      <c r="GB31" s="596"/>
      <c r="GC31" s="596"/>
      <c r="GD31" s="596"/>
      <c r="GE31" s="596"/>
      <c r="GF31" s="596"/>
      <c r="GG31" s="596"/>
      <c r="GH31" s="596"/>
      <c r="GI31" s="596"/>
      <c r="GJ31" s="596"/>
      <c r="GK31" s="596"/>
      <c r="GL31" s="596"/>
      <c r="GM31" s="596"/>
      <c r="GN31" s="596"/>
      <c r="GO31" s="596"/>
      <c r="GP31" s="596"/>
      <c r="GQ31" s="596"/>
      <c r="GR31" s="596"/>
      <c r="GS31" s="596"/>
      <c r="GT31" s="596"/>
      <c r="GU31" s="596"/>
      <c r="GV31" s="596"/>
      <c r="GW31" s="596"/>
      <c r="GX31" s="596"/>
      <c r="GY31" s="596"/>
      <c r="GZ31" s="596"/>
      <c r="HA31" s="596"/>
      <c r="HB31" s="596"/>
      <c r="HC31" s="596"/>
      <c r="HD31" s="596"/>
      <c r="HE31" s="596"/>
      <c r="HF31" s="596"/>
      <c r="HG31" s="596"/>
      <c r="HH31" s="596"/>
      <c r="HI31" s="596"/>
      <c r="HJ31" s="596"/>
      <c r="HK31" s="596"/>
      <c r="HL31" s="596"/>
      <c r="HM31" s="596"/>
      <c r="HN31" s="596"/>
      <c r="HO31" s="596"/>
      <c r="HP31" s="596"/>
      <c r="HQ31" s="596"/>
      <c r="HR31" s="596"/>
      <c r="HS31" s="596"/>
      <c r="HT31" s="596"/>
      <c r="HU31" s="596"/>
      <c r="HV31" s="596"/>
      <c r="HW31" s="596"/>
      <c r="HX31" s="596"/>
      <c r="HY31" s="596"/>
      <c r="HZ31" s="596"/>
      <c r="IA31" s="596"/>
      <c r="IB31" s="596"/>
      <c r="IC31" s="596"/>
      <c r="ID31" s="596"/>
      <c r="IE31" s="596"/>
      <c r="IF31" s="596"/>
      <c r="IG31" s="596"/>
      <c r="IH31" s="596"/>
      <c r="II31" s="596"/>
      <c r="IJ31" s="596"/>
      <c r="IK31" s="596"/>
      <c r="IL31" s="596"/>
      <c r="IM31" s="596"/>
      <c r="IN31" s="596"/>
      <c r="IO31" s="596"/>
      <c r="IP31" s="596"/>
      <c r="IQ31" s="596"/>
      <c r="IR31" s="596"/>
      <c r="IS31" s="596"/>
      <c r="IT31" s="596"/>
      <c r="IU31" s="596"/>
      <c r="IV31" s="596"/>
    </row>
    <row r="32" spans="1:256">
      <c r="A32" s="600">
        <f>+A30+1</f>
        <v>18</v>
      </c>
      <c r="B32" s="597" t="s">
        <v>515</v>
      </c>
      <c r="C32" s="611"/>
      <c r="D32" s="609">
        <f>+D30</f>
        <v>0</v>
      </c>
      <c r="E32" s="597"/>
      <c r="F32" s="597"/>
      <c r="G32" s="597"/>
      <c r="H32" s="611"/>
      <c r="I32" s="609">
        <f>+I30</f>
        <v>0</v>
      </c>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596"/>
      <c r="ES32" s="596"/>
      <c r="ET32" s="596"/>
      <c r="EU32" s="596"/>
      <c r="EV32" s="596"/>
      <c r="EW32" s="596"/>
      <c r="EX32" s="596"/>
      <c r="EY32" s="596"/>
      <c r="EZ32" s="596"/>
      <c r="FA32" s="596"/>
      <c r="FB32" s="596"/>
      <c r="FC32" s="596"/>
      <c r="FD32" s="596"/>
      <c r="FE32" s="596"/>
      <c r="FF32" s="596"/>
      <c r="FG32" s="596"/>
      <c r="FH32" s="596"/>
      <c r="FI32" s="596"/>
      <c r="FJ32" s="596"/>
      <c r="FK32" s="596"/>
      <c r="FL32" s="596"/>
      <c r="FM32" s="596"/>
      <c r="FN32" s="596"/>
      <c r="FO32" s="596"/>
      <c r="FP32" s="596"/>
      <c r="FQ32" s="596"/>
      <c r="FR32" s="596"/>
      <c r="FS32" s="596"/>
      <c r="FT32" s="596"/>
      <c r="FU32" s="596"/>
      <c r="FV32" s="596"/>
      <c r="FW32" s="596"/>
      <c r="FX32" s="596"/>
      <c r="FY32" s="596"/>
      <c r="FZ32" s="596"/>
      <c r="GA32" s="596"/>
      <c r="GB32" s="596"/>
      <c r="GC32" s="596"/>
      <c r="GD32" s="596"/>
      <c r="GE32" s="596"/>
      <c r="GF32" s="596"/>
      <c r="GG32" s="596"/>
      <c r="GH32" s="596"/>
      <c r="GI32" s="596"/>
      <c r="GJ32" s="596"/>
      <c r="GK32" s="596"/>
      <c r="GL32" s="596"/>
      <c r="GM32" s="596"/>
      <c r="GN32" s="596"/>
      <c r="GO32" s="596"/>
      <c r="GP32" s="596"/>
      <c r="GQ32" s="596"/>
      <c r="GR32" s="596"/>
      <c r="GS32" s="596"/>
      <c r="GT32" s="596"/>
      <c r="GU32" s="596"/>
      <c r="GV32" s="596"/>
      <c r="GW32" s="596"/>
      <c r="GX32" s="596"/>
      <c r="GY32" s="596"/>
      <c r="GZ32" s="596"/>
      <c r="HA32" s="596"/>
      <c r="HB32" s="596"/>
      <c r="HC32" s="596"/>
      <c r="HD32" s="596"/>
      <c r="HE32" s="596"/>
      <c r="HF32" s="596"/>
      <c r="HG32" s="596"/>
      <c r="HH32" s="596"/>
      <c r="HI32" s="596"/>
      <c r="HJ32" s="596"/>
      <c r="HK32" s="596"/>
      <c r="HL32" s="596"/>
      <c r="HM32" s="596"/>
      <c r="HN32" s="596"/>
      <c r="HO32" s="596"/>
      <c r="HP32" s="596"/>
      <c r="HQ32" s="596"/>
      <c r="HR32" s="596"/>
      <c r="HS32" s="596"/>
      <c r="HT32" s="596"/>
      <c r="HU32" s="596"/>
      <c r="HV32" s="596"/>
      <c r="HW32" s="596"/>
      <c r="HX32" s="596"/>
      <c r="HY32" s="596"/>
      <c r="HZ32" s="596"/>
      <c r="IA32" s="596"/>
      <c r="IB32" s="596"/>
      <c r="IC32" s="596"/>
      <c r="ID32" s="596"/>
      <c r="IE32" s="596"/>
      <c r="IF32" s="596"/>
      <c r="IG32" s="596"/>
      <c r="IH32" s="596"/>
      <c r="II32" s="596"/>
      <c r="IJ32" s="596"/>
      <c r="IK32" s="596"/>
      <c r="IL32" s="596"/>
      <c r="IM32" s="596"/>
      <c r="IN32" s="596"/>
      <c r="IO32" s="596"/>
      <c r="IP32" s="596"/>
      <c r="IQ32" s="596"/>
      <c r="IR32" s="596"/>
      <c r="IS32" s="596"/>
      <c r="IT32" s="596"/>
      <c r="IU32" s="596"/>
      <c r="IV32" s="596"/>
    </row>
    <row r="33" spans="1:256">
      <c r="A33" s="600"/>
      <c r="B33" s="612"/>
      <c r="C33" s="612"/>
      <c r="D33" s="612"/>
      <c r="E33" s="612"/>
      <c r="F33" s="612"/>
      <c r="G33" s="612"/>
      <c r="H33" s="612"/>
      <c r="I33" s="612"/>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596"/>
      <c r="FA33" s="596"/>
      <c r="FB33" s="596"/>
      <c r="FC33" s="596"/>
      <c r="FD33" s="596"/>
      <c r="FE33" s="596"/>
      <c r="FF33" s="596"/>
      <c r="FG33" s="596"/>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596"/>
      <c r="GN33" s="596"/>
      <c r="GO33" s="596"/>
      <c r="GP33" s="596"/>
      <c r="GQ33" s="596"/>
      <c r="GR33" s="596"/>
      <c r="GS33" s="596"/>
      <c r="GT33" s="596"/>
      <c r="GU33" s="596"/>
      <c r="GV33" s="596"/>
      <c r="GW33" s="596"/>
      <c r="GX33" s="596"/>
      <c r="GY33" s="596"/>
      <c r="GZ33" s="596"/>
      <c r="HA33" s="596"/>
      <c r="HB33" s="596"/>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row>
    <row r="34" spans="1:256" ht="13.5" thickBot="1">
      <c r="A34" s="600">
        <f>+A32+1</f>
        <v>19</v>
      </c>
      <c r="B34" s="613" t="str">
        <f>"Proration Adjustment - Line "&amp;A32&amp;" Col. "&amp;I16&amp;" less Col. "&amp;D16</f>
        <v>Proration Adjustment - Line 18 Col. (H) less Col. (C )</v>
      </c>
      <c r="C34" s="613"/>
      <c r="D34" s="613"/>
      <c r="E34" s="613"/>
      <c r="F34" s="613"/>
      <c r="G34" s="613"/>
      <c r="H34" s="613"/>
      <c r="I34" s="614">
        <f>+I32-D32</f>
        <v>0</v>
      </c>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c r="BL34" s="596"/>
      <c r="BM34" s="596"/>
      <c r="BN34" s="596"/>
      <c r="BO34" s="596"/>
      <c r="BP34" s="596"/>
      <c r="BQ34" s="596"/>
      <c r="BR34" s="596"/>
      <c r="BS34" s="596"/>
      <c r="BT34" s="596"/>
      <c r="BU34" s="596"/>
      <c r="BV34" s="596"/>
      <c r="BW34" s="596"/>
      <c r="BX34" s="596"/>
      <c r="BY34" s="596"/>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6"/>
      <c r="DY34" s="596"/>
      <c r="DZ34" s="596"/>
      <c r="EA34" s="596"/>
      <c r="EB34" s="596"/>
      <c r="EC34" s="596"/>
      <c r="ED34" s="596"/>
      <c r="EE34" s="596"/>
      <c r="EF34" s="596"/>
      <c r="EG34" s="596"/>
      <c r="EH34" s="596"/>
      <c r="EI34" s="596"/>
      <c r="EJ34" s="596"/>
      <c r="EK34" s="596"/>
      <c r="EL34" s="596"/>
      <c r="EM34" s="596"/>
      <c r="EN34" s="596"/>
      <c r="EO34" s="596"/>
      <c r="EP34" s="596"/>
      <c r="EQ34" s="596"/>
      <c r="ER34" s="596"/>
      <c r="ES34" s="596"/>
      <c r="ET34" s="596"/>
      <c r="EU34" s="596"/>
      <c r="EV34" s="596"/>
      <c r="EW34" s="596"/>
      <c r="EX34" s="596"/>
      <c r="EY34" s="596"/>
      <c r="EZ34" s="596"/>
      <c r="FA34" s="596"/>
      <c r="FB34" s="596"/>
      <c r="FC34" s="596"/>
      <c r="FD34" s="596"/>
      <c r="FE34" s="596"/>
      <c r="FF34" s="596"/>
      <c r="FG34" s="596"/>
      <c r="FH34" s="596"/>
      <c r="FI34" s="596"/>
      <c r="FJ34" s="596"/>
      <c r="FK34" s="596"/>
      <c r="FL34" s="596"/>
      <c r="FM34" s="596"/>
      <c r="FN34" s="596"/>
      <c r="FO34" s="596"/>
      <c r="FP34" s="596"/>
      <c r="FQ34" s="596"/>
      <c r="FR34" s="596"/>
      <c r="FS34" s="596"/>
      <c r="FT34" s="596"/>
      <c r="FU34" s="596"/>
      <c r="FV34" s="596"/>
      <c r="FW34" s="596"/>
      <c r="FX34" s="596"/>
      <c r="FY34" s="596"/>
      <c r="FZ34" s="596"/>
      <c r="GA34" s="596"/>
      <c r="GB34" s="596"/>
      <c r="GC34" s="596"/>
      <c r="GD34" s="596"/>
      <c r="GE34" s="596"/>
      <c r="GF34" s="596"/>
      <c r="GG34" s="596"/>
      <c r="GH34" s="596"/>
      <c r="GI34" s="596"/>
      <c r="GJ34" s="596"/>
      <c r="GK34" s="596"/>
      <c r="GL34" s="596"/>
      <c r="GM34" s="596"/>
      <c r="GN34" s="596"/>
      <c r="GO34" s="596"/>
      <c r="GP34" s="596"/>
      <c r="GQ34" s="596"/>
      <c r="GR34" s="596"/>
      <c r="GS34" s="596"/>
      <c r="GT34" s="596"/>
      <c r="GU34" s="596"/>
      <c r="GV34" s="596"/>
      <c r="GW34" s="596"/>
      <c r="GX34" s="596"/>
      <c r="GY34" s="596"/>
      <c r="GZ34" s="596"/>
      <c r="HA34" s="596"/>
      <c r="HB34" s="596"/>
      <c r="HC34" s="596"/>
      <c r="HD34" s="596"/>
      <c r="HE34" s="596"/>
      <c r="HF34" s="596"/>
      <c r="HG34" s="596"/>
      <c r="HH34" s="596"/>
      <c r="HI34" s="596"/>
      <c r="HJ34" s="596"/>
      <c r="HK34" s="596"/>
      <c r="HL34" s="596"/>
      <c r="HM34" s="596"/>
      <c r="HN34" s="596"/>
      <c r="HO34" s="596"/>
      <c r="HP34" s="596"/>
      <c r="HQ34" s="596"/>
      <c r="HR34" s="596"/>
      <c r="HS34" s="596"/>
      <c r="HT34" s="596"/>
      <c r="HU34" s="596"/>
      <c r="HV34" s="596"/>
      <c r="HW34" s="596"/>
      <c r="HX34" s="596"/>
      <c r="HY34" s="596"/>
      <c r="HZ34" s="596"/>
      <c r="IA34" s="596"/>
      <c r="IB34" s="596"/>
      <c r="IC34" s="596"/>
      <c r="ID34" s="596"/>
      <c r="IE34" s="596"/>
      <c r="IF34" s="596"/>
      <c r="IG34" s="596"/>
      <c r="IH34" s="596"/>
      <c r="II34" s="596"/>
      <c r="IJ34" s="596"/>
      <c r="IK34" s="596"/>
      <c r="IL34" s="596"/>
      <c r="IM34" s="596"/>
      <c r="IN34" s="596"/>
      <c r="IO34" s="596"/>
      <c r="IP34" s="596"/>
      <c r="IQ34" s="596"/>
      <c r="IR34" s="596"/>
      <c r="IS34" s="596"/>
      <c r="IT34" s="596"/>
      <c r="IU34" s="596"/>
      <c r="IV34" s="596"/>
    </row>
    <row r="35" spans="1:256" ht="13.5" thickTop="1">
      <c r="A35" s="596"/>
      <c r="B35" s="612"/>
      <c r="C35" s="612"/>
      <c r="D35" s="612"/>
      <c r="E35" s="612"/>
      <c r="F35" s="612"/>
      <c r="G35" s="612"/>
      <c r="H35" s="612"/>
      <c r="I35" s="612"/>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596"/>
      <c r="DB35" s="596"/>
      <c r="DC35" s="596"/>
      <c r="DD35" s="596"/>
      <c r="DE35" s="596"/>
      <c r="DF35" s="596"/>
      <c r="DG35" s="596"/>
      <c r="DH35" s="596"/>
      <c r="DI35" s="596"/>
      <c r="DJ35" s="596"/>
      <c r="DK35" s="596"/>
      <c r="DL35" s="596"/>
      <c r="DM35" s="596"/>
      <c r="DN35" s="596"/>
      <c r="DO35" s="596"/>
      <c r="DP35" s="596"/>
      <c r="DQ35" s="596"/>
      <c r="DR35" s="596"/>
      <c r="DS35" s="596"/>
      <c r="DT35" s="596"/>
      <c r="DU35" s="596"/>
      <c r="DV35" s="596"/>
      <c r="DW35" s="596"/>
      <c r="DX35" s="596"/>
      <c r="DY35" s="596"/>
      <c r="DZ35" s="596"/>
      <c r="EA35" s="596"/>
      <c r="EB35" s="596"/>
      <c r="EC35" s="596"/>
      <c r="ED35" s="596"/>
      <c r="EE35" s="596"/>
      <c r="EF35" s="596"/>
      <c r="EG35" s="596"/>
      <c r="EH35" s="596"/>
      <c r="EI35" s="596"/>
      <c r="EJ35" s="596"/>
      <c r="EK35" s="596"/>
      <c r="EL35" s="596"/>
      <c r="EM35" s="596"/>
      <c r="EN35" s="596"/>
      <c r="EO35" s="596"/>
      <c r="EP35" s="596"/>
      <c r="EQ35" s="596"/>
      <c r="ER35" s="596"/>
      <c r="ES35" s="596"/>
      <c r="ET35" s="596"/>
      <c r="EU35" s="596"/>
      <c r="EV35" s="596"/>
      <c r="EW35" s="596"/>
      <c r="EX35" s="596"/>
      <c r="EY35" s="596"/>
      <c r="EZ35" s="596"/>
      <c r="FA35" s="596"/>
      <c r="FB35" s="596"/>
      <c r="FC35" s="596"/>
      <c r="FD35" s="596"/>
      <c r="FE35" s="596"/>
      <c r="FF35" s="596"/>
      <c r="FG35" s="596"/>
      <c r="FH35" s="596"/>
      <c r="FI35" s="596"/>
      <c r="FJ35" s="596"/>
      <c r="FK35" s="596"/>
      <c r="FL35" s="596"/>
      <c r="FM35" s="596"/>
      <c r="FN35" s="596"/>
      <c r="FO35" s="596"/>
      <c r="FP35" s="596"/>
      <c r="FQ35" s="596"/>
      <c r="FR35" s="596"/>
      <c r="FS35" s="596"/>
      <c r="FT35" s="596"/>
      <c r="FU35" s="596"/>
      <c r="FV35" s="596"/>
      <c r="FW35" s="596"/>
      <c r="FX35" s="596"/>
      <c r="FY35" s="596"/>
      <c r="FZ35" s="596"/>
      <c r="GA35" s="596"/>
      <c r="GB35" s="596"/>
      <c r="GC35" s="596"/>
      <c r="GD35" s="596"/>
      <c r="GE35" s="596"/>
      <c r="GF35" s="596"/>
      <c r="GG35" s="596"/>
      <c r="GH35" s="596"/>
      <c r="GI35" s="596"/>
      <c r="GJ35" s="596"/>
      <c r="GK35" s="596"/>
      <c r="GL35" s="596"/>
      <c r="GM35" s="596"/>
      <c r="GN35" s="596"/>
      <c r="GO35" s="596"/>
      <c r="GP35" s="596"/>
      <c r="GQ35" s="596"/>
      <c r="GR35" s="596"/>
      <c r="GS35" s="596"/>
      <c r="GT35" s="596"/>
      <c r="GU35" s="596"/>
      <c r="GV35" s="596"/>
      <c r="GW35" s="596"/>
      <c r="GX35" s="596"/>
      <c r="GY35" s="596"/>
      <c r="GZ35" s="596"/>
      <c r="HA35" s="596"/>
      <c r="HB35" s="596"/>
      <c r="HC35" s="596"/>
      <c r="HD35" s="596"/>
      <c r="HE35" s="596"/>
      <c r="HF35" s="596"/>
      <c r="HG35" s="596"/>
      <c r="HH35" s="596"/>
      <c r="HI35" s="596"/>
      <c r="HJ35" s="596"/>
      <c r="HK35" s="596"/>
      <c r="HL35" s="596"/>
      <c r="HM35" s="596"/>
      <c r="HN35" s="596"/>
      <c r="HO35" s="596"/>
      <c r="HP35" s="596"/>
      <c r="HQ35" s="596"/>
      <c r="HR35" s="596"/>
      <c r="HS35" s="596"/>
      <c r="HT35" s="596"/>
      <c r="HU35" s="596"/>
      <c r="HV35" s="596"/>
      <c r="HW35" s="596"/>
      <c r="HX35" s="596"/>
      <c r="HY35" s="596"/>
      <c r="HZ35" s="596"/>
      <c r="IA35" s="596"/>
      <c r="IB35" s="596"/>
      <c r="IC35" s="596"/>
      <c r="ID35" s="596"/>
      <c r="IE35" s="596"/>
      <c r="IF35" s="596"/>
      <c r="IG35" s="596"/>
      <c r="IH35" s="596"/>
      <c r="II35" s="596"/>
      <c r="IJ35" s="596"/>
      <c r="IK35" s="596"/>
      <c r="IL35" s="596"/>
      <c r="IM35" s="596"/>
      <c r="IN35" s="596"/>
      <c r="IO35" s="596"/>
      <c r="IP35" s="596"/>
      <c r="IQ35" s="596"/>
      <c r="IR35" s="596"/>
      <c r="IS35" s="596"/>
      <c r="IT35" s="596"/>
      <c r="IU35" s="596"/>
      <c r="IV35" s="596"/>
    </row>
    <row r="36" spans="1:256">
      <c r="A36" s="599" t="s">
        <v>611</v>
      </c>
      <c r="B36" s="598"/>
      <c r="C36" s="596"/>
      <c r="D36" s="598"/>
      <c r="E36" s="2206" t="s">
        <v>342</v>
      </c>
      <c r="F36" s="2206"/>
      <c r="G36" s="598"/>
      <c r="H36" s="598"/>
      <c r="I36" s="598"/>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c r="BW36" s="596"/>
      <c r="BX36" s="596"/>
      <c r="BY36" s="596"/>
      <c r="BZ36" s="596"/>
      <c r="CA36" s="596"/>
      <c r="CB36" s="596"/>
      <c r="CC36" s="596"/>
      <c r="CD36" s="596"/>
      <c r="CE36" s="596"/>
      <c r="CF36" s="596"/>
      <c r="CG36" s="596"/>
      <c r="CH36" s="596"/>
      <c r="CI36" s="596"/>
      <c r="CJ36" s="596"/>
      <c r="CK36" s="596"/>
      <c r="CL36" s="596"/>
      <c r="CM36" s="596"/>
      <c r="CN36" s="596"/>
      <c r="CO36" s="596"/>
      <c r="CP36" s="596"/>
      <c r="CQ36" s="596"/>
      <c r="CR36" s="596"/>
      <c r="CS36" s="596"/>
      <c r="CT36" s="596"/>
      <c r="CU36" s="596"/>
      <c r="CV36" s="596"/>
      <c r="CW36" s="596"/>
      <c r="CX36" s="596"/>
      <c r="CY36" s="596"/>
      <c r="CZ36" s="596"/>
      <c r="DA36" s="596"/>
      <c r="DB36" s="596"/>
      <c r="DC36" s="596"/>
      <c r="DD36" s="596"/>
      <c r="DE36" s="596"/>
      <c r="DF36" s="596"/>
      <c r="DG36" s="596"/>
      <c r="DH36" s="596"/>
      <c r="DI36" s="596"/>
      <c r="DJ36" s="596"/>
      <c r="DK36" s="596"/>
      <c r="DL36" s="596"/>
      <c r="DM36" s="596"/>
      <c r="DN36" s="596"/>
      <c r="DO36" s="596"/>
      <c r="DP36" s="596"/>
      <c r="DQ36" s="596"/>
      <c r="DR36" s="596"/>
      <c r="DS36" s="596"/>
      <c r="DT36" s="596"/>
      <c r="DU36" s="596"/>
      <c r="DV36" s="596"/>
      <c r="DW36" s="596"/>
      <c r="DX36" s="596"/>
      <c r="DY36" s="596"/>
      <c r="DZ36" s="596"/>
      <c r="EA36" s="596"/>
      <c r="EB36" s="596"/>
      <c r="EC36" s="596"/>
      <c r="ED36" s="596"/>
      <c r="EE36" s="596"/>
      <c r="EF36" s="596"/>
      <c r="EG36" s="596"/>
      <c r="EH36" s="596"/>
      <c r="EI36" s="596"/>
      <c r="EJ36" s="596"/>
      <c r="EK36" s="596"/>
      <c r="EL36" s="596"/>
      <c r="EM36" s="596"/>
      <c r="EN36" s="596"/>
      <c r="EO36" s="596"/>
      <c r="EP36" s="596"/>
      <c r="EQ36" s="596"/>
      <c r="ER36" s="596"/>
      <c r="ES36" s="596"/>
      <c r="ET36" s="596"/>
      <c r="EU36" s="596"/>
      <c r="EV36" s="596"/>
      <c r="EW36" s="596"/>
      <c r="EX36" s="596"/>
      <c r="EY36" s="596"/>
      <c r="EZ36" s="596"/>
      <c r="FA36" s="596"/>
      <c r="FB36" s="596"/>
      <c r="FC36" s="596"/>
      <c r="FD36" s="596"/>
      <c r="FE36" s="596"/>
      <c r="FF36" s="596"/>
      <c r="FG36" s="596"/>
      <c r="FH36" s="596"/>
      <c r="FI36" s="596"/>
      <c r="FJ36" s="596"/>
      <c r="FK36" s="596"/>
      <c r="FL36" s="596"/>
      <c r="FM36" s="596"/>
      <c r="FN36" s="596"/>
      <c r="FO36" s="596"/>
      <c r="FP36" s="596"/>
      <c r="FQ36" s="596"/>
      <c r="FR36" s="596"/>
      <c r="FS36" s="596"/>
      <c r="FT36" s="596"/>
      <c r="FU36" s="596"/>
      <c r="FV36" s="596"/>
      <c r="FW36" s="596"/>
      <c r="FX36" s="596"/>
      <c r="FY36" s="596"/>
      <c r="FZ36" s="596"/>
      <c r="GA36" s="596"/>
      <c r="GB36" s="596"/>
      <c r="GC36" s="596"/>
      <c r="GD36" s="596"/>
      <c r="GE36" s="596"/>
      <c r="GF36" s="596"/>
      <c r="GG36" s="596"/>
      <c r="GH36" s="596"/>
      <c r="GI36" s="596"/>
      <c r="GJ36" s="596"/>
      <c r="GK36" s="596"/>
      <c r="GL36" s="596"/>
      <c r="GM36" s="596"/>
      <c r="GN36" s="596"/>
      <c r="GO36" s="596"/>
      <c r="GP36" s="596"/>
      <c r="GQ36" s="596"/>
      <c r="GR36" s="596"/>
      <c r="GS36" s="596"/>
      <c r="GT36" s="596"/>
      <c r="GU36" s="596"/>
      <c r="GV36" s="596"/>
      <c r="GW36" s="596"/>
      <c r="GX36" s="596"/>
      <c r="GY36" s="596"/>
      <c r="GZ36" s="596"/>
      <c r="HA36" s="596"/>
      <c r="HB36" s="596"/>
      <c r="HC36" s="596"/>
      <c r="HD36" s="596"/>
      <c r="HE36" s="596"/>
      <c r="HF36" s="596"/>
      <c r="HG36" s="596"/>
      <c r="HH36" s="596"/>
      <c r="HI36" s="596"/>
      <c r="HJ36" s="596"/>
      <c r="HK36" s="596"/>
      <c r="HL36" s="596"/>
      <c r="HM36" s="596"/>
      <c r="HN36" s="596"/>
      <c r="HO36" s="596"/>
      <c r="HP36" s="596"/>
      <c r="HQ36" s="596"/>
      <c r="HR36" s="596"/>
      <c r="HS36" s="596"/>
      <c r="HT36" s="596"/>
      <c r="HU36" s="596"/>
      <c r="HV36" s="596"/>
      <c r="HW36" s="596"/>
      <c r="HX36" s="596"/>
      <c r="HY36" s="596"/>
      <c r="HZ36" s="596"/>
      <c r="IA36" s="596"/>
      <c r="IB36" s="596"/>
      <c r="IC36" s="596"/>
      <c r="ID36" s="596"/>
      <c r="IE36" s="596"/>
      <c r="IF36" s="596"/>
      <c r="IG36" s="596"/>
      <c r="IH36" s="596"/>
      <c r="II36" s="596"/>
      <c r="IJ36" s="596"/>
      <c r="IK36" s="596"/>
      <c r="IL36" s="596"/>
      <c r="IM36" s="596"/>
      <c r="IN36" s="596"/>
      <c r="IO36" s="596"/>
      <c r="IP36" s="596"/>
      <c r="IQ36" s="596"/>
      <c r="IR36" s="596"/>
      <c r="IS36" s="596"/>
      <c r="IT36" s="596"/>
      <c r="IU36" s="596"/>
      <c r="IV36" s="596"/>
    </row>
    <row r="37" spans="1:256">
      <c r="A37" s="600">
        <f>+A34+1</f>
        <v>20</v>
      </c>
      <c r="B37" s="602" t="s">
        <v>666</v>
      </c>
      <c r="C37" s="602"/>
      <c r="D37" s="602"/>
      <c r="E37" s="602" t="s">
        <v>521</v>
      </c>
      <c r="F37" s="598"/>
      <c r="G37" s="596"/>
      <c r="H37" s="443">
        <v>0</v>
      </c>
      <c r="I37" s="598"/>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6"/>
      <c r="BC37" s="596"/>
      <c r="BD37" s="596"/>
      <c r="BE37" s="596"/>
      <c r="BF37" s="596"/>
      <c r="BG37" s="596"/>
      <c r="BH37" s="596"/>
      <c r="BI37" s="596"/>
      <c r="BJ37" s="596"/>
      <c r="BK37" s="596"/>
      <c r="BL37" s="596"/>
      <c r="BM37" s="596"/>
      <c r="BN37" s="596"/>
      <c r="BO37" s="596"/>
      <c r="BP37" s="596"/>
      <c r="BQ37" s="596"/>
      <c r="BR37" s="596"/>
      <c r="BS37" s="596"/>
      <c r="BT37" s="596"/>
      <c r="BU37" s="596"/>
      <c r="BV37" s="596"/>
      <c r="BW37" s="596"/>
      <c r="BX37" s="596"/>
      <c r="BY37" s="596"/>
      <c r="BZ37" s="596"/>
      <c r="CA37" s="596"/>
      <c r="CB37" s="596"/>
      <c r="CC37" s="596"/>
      <c r="CD37" s="596"/>
      <c r="CE37" s="596"/>
      <c r="CF37" s="596"/>
      <c r="CG37" s="596"/>
      <c r="CH37" s="596"/>
      <c r="CI37" s="596"/>
      <c r="CJ37" s="596"/>
      <c r="CK37" s="596"/>
      <c r="CL37" s="596"/>
      <c r="CM37" s="596"/>
      <c r="CN37" s="596"/>
      <c r="CO37" s="596"/>
      <c r="CP37" s="596"/>
      <c r="CQ37" s="596"/>
      <c r="CR37" s="596"/>
      <c r="CS37" s="596"/>
      <c r="CT37" s="596"/>
      <c r="CU37" s="596"/>
      <c r="CV37" s="596"/>
      <c r="CW37" s="596"/>
      <c r="CX37" s="596"/>
      <c r="CY37" s="596"/>
      <c r="CZ37" s="596"/>
      <c r="DA37" s="596"/>
      <c r="DB37" s="596"/>
      <c r="DC37" s="596"/>
      <c r="DD37" s="596"/>
      <c r="DE37" s="596"/>
      <c r="DF37" s="596"/>
      <c r="DG37" s="596"/>
      <c r="DH37" s="596"/>
      <c r="DI37" s="596"/>
      <c r="DJ37" s="596"/>
      <c r="DK37" s="596"/>
      <c r="DL37" s="596"/>
      <c r="DM37" s="596"/>
      <c r="DN37" s="596"/>
      <c r="DO37" s="596"/>
      <c r="DP37" s="596"/>
      <c r="DQ37" s="596"/>
      <c r="DR37" s="596"/>
      <c r="DS37" s="596"/>
      <c r="DT37" s="596"/>
      <c r="DU37" s="596"/>
      <c r="DV37" s="596"/>
      <c r="DW37" s="596"/>
      <c r="DX37" s="596"/>
      <c r="DY37" s="596"/>
      <c r="DZ37" s="596"/>
      <c r="EA37" s="596"/>
      <c r="EB37" s="596"/>
      <c r="EC37" s="596"/>
      <c r="ED37" s="596"/>
      <c r="EE37" s="596"/>
      <c r="EF37" s="596"/>
      <c r="EG37" s="596"/>
      <c r="EH37" s="596"/>
      <c r="EI37" s="596"/>
      <c r="EJ37" s="596"/>
      <c r="EK37" s="596"/>
      <c r="EL37" s="596"/>
      <c r="EM37" s="596"/>
      <c r="EN37" s="596"/>
      <c r="EO37" s="596"/>
      <c r="EP37" s="596"/>
      <c r="EQ37" s="596"/>
      <c r="ER37" s="596"/>
      <c r="ES37" s="596"/>
      <c r="ET37" s="596"/>
      <c r="EU37" s="596"/>
      <c r="EV37" s="596"/>
      <c r="EW37" s="596"/>
      <c r="EX37" s="596"/>
      <c r="EY37" s="596"/>
      <c r="EZ37" s="596"/>
      <c r="FA37" s="596"/>
      <c r="FB37" s="596"/>
      <c r="FC37" s="596"/>
      <c r="FD37" s="596"/>
      <c r="FE37" s="596"/>
      <c r="FF37" s="596"/>
      <c r="FG37" s="596"/>
      <c r="FH37" s="596"/>
      <c r="FI37" s="596"/>
      <c r="FJ37" s="596"/>
      <c r="FK37" s="596"/>
      <c r="FL37" s="596"/>
      <c r="FM37" s="596"/>
      <c r="FN37" s="596"/>
      <c r="FO37" s="596"/>
      <c r="FP37" s="596"/>
      <c r="FQ37" s="596"/>
      <c r="FR37" s="596"/>
      <c r="FS37" s="596"/>
      <c r="FT37" s="596"/>
      <c r="FU37" s="596"/>
      <c r="FV37" s="596"/>
      <c r="FW37" s="596"/>
      <c r="FX37" s="596"/>
      <c r="FY37" s="596"/>
      <c r="FZ37" s="596"/>
      <c r="GA37" s="596"/>
      <c r="GB37" s="596"/>
      <c r="GC37" s="596"/>
      <c r="GD37" s="596"/>
      <c r="GE37" s="596"/>
      <c r="GF37" s="596"/>
      <c r="GG37" s="596"/>
      <c r="GH37" s="596"/>
      <c r="GI37" s="596"/>
      <c r="GJ37" s="596"/>
      <c r="GK37" s="596"/>
      <c r="GL37" s="596"/>
      <c r="GM37" s="596"/>
      <c r="GN37" s="596"/>
      <c r="GO37" s="596"/>
      <c r="GP37" s="596"/>
      <c r="GQ37" s="596"/>
      <c r="GR37" s="596"/>
      <c r="GS37" s="596"/>
      <c r="GT37" s="596"/>
      <c r="GU37" s="596"/>
      <c r="GV37" s="596"/>
      <c r="GW37" s="596"/>
      <c r="GX37" s="596"/>
      <c r="GY37" s="596"/>
      <c r="GZ37" s="596"/>
      <c r="HA37" s="596"/>
      <c r="HB37" s="596"/>
      <c r="HC37" s="596"/>
      <c r="HD37" s="596"/>
      <c r="HE37" s="596"/>
      <c r="HF37" s="596"/>
      <c r="HG37" s="596"/>
      <c r="HH37" s="596"/>
      <c r="HI37" s="596"/>
      <c r="HJ37" s="596"/>
      <c r="HK37" s="596"/>
      <c r="HL37" s="596"/>
      <c r="HM37" s="596"/>
      <c r="HN37" s="596"/>
      <c r="HO37" s="596"/>
      <c r="HP37" s="596"/>
      <c r="HQ37" s="596"/>
      <c r="HR37" s="596"/>
      <c r="HS37" s="596"/>
      <c r="HT37" s="596"/>
      <c r="HU37" s="596"/>
      <c r="HV37" s="596"/>
      <c r="HW37" s="596"/>
      <c r="HX37" s="596"/>
      <c r="HY37" s="596"/>
      <c r="HZ37" s="596"/>
      <c r="IA37" s="596"/>
      <c r="IB37" s="596"/>
      <c r="IC37" s="596"/>
      <c r="ID37" s="596"/>
      <c r="IE37" s="596"/>
      <c r="IF37" s="596"/>
      <c r="IG37" s="596"/>
      <c r="IH37" s="596"/>
      <c r="II37" s="596"/>
      <c r="IJ37" s="596"/>
      <c r="IK37" s="596"/>
      <c r="IL37" s="596"/>
      <c r="IM37" s="596"/>
      <c r="IN37" s="596"/>
      <c r="IO37" s="596"/>
      <c r="IP37" s="596"/>
      <c r="IQ37" s="596"/>
      <c r="IR37" s="596"/>
      <c r="IS37" s="596"/>
      <c r="IT37" s="596"/>
      <c r="IU37" s="596"/>
      <c r="IV37" s="596"/>
    </row>
    <row r="38" spans="1:256">
      <c r="A38" s="600">
        <f>+A37+1</f>
        <v>21</v>
      </c>
      <c r="B38" s="602" t="s">
        <v>667</v>
      </c>
      <c r="C38" s="602"/>
      <c r="D38" s="602"/>
      <c r="E38" s="602" t="s">
        <v>522</v>
      </c>
      <c r="F38" s="598"/>
      <c r="G38" s="596"/>
      <c r="H38" s="443">
        <v>0</v>
      </c>
      <c r="I38" s="598"/>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596"/>
      <c r="CN38" s="596"/>
      <c r="CO38" s="596"/>
      <c r="CP38" s="596"/>
      <c r="CQ38" s="596"/>
      <c r="CR38" s="596"/>
      <c r="CS38" s="596"/>
      <c r="CT38" s="596"/>
      <c r="CU38" s="596"/>
      <c r="CV38" s="596"/>
      <c r="CW38" s="596"/>
      <c r="CX38" s="596"/>
      <c r="CY38" s="596"/>
      <c r="CZ38" s="596"/>
      <c r="DA38" s="596"/>
      <c r="DB38" s="596"/>
      <c r="DC38" s="596"/>
      <c r="DD38" s="596"/>
      <c r="DE38" s="596"/>
      <c r="DF38" s="596"/>
      <c r="DG38" s="596"/>
      <c r="DH38" s="596"/>
      <c r="DI38" s="596"/>
      <c r="DJ38" s="596"/>
      <c r="DK38" s="596"/>
      <c r="DL38" s="596"/>
      <c r="DM38" s="596"/>
      <c r="DN38" s="596"/>
      <c r="DO38" s="596"/>
      <c r="DP38" s="596"/>
      <c r="DQ38" s="596"/>
      <c r="DR38" s="596"/>
      <c r="DS38" s="596"/>
      <c r="DT38" s="596"/>
      <c r="DU38" s="596"/>
      <c r="DV38" s="596"/>
      <c r="DW38" s="596"/>
      <c r="DX38" s="596"/>
      <c r="DY38" s="596"/>
      <c r="DZ38" s="596"/>
      <c r="EA38" s="596"/>
      <c r="EB38" s="596"/>
      <c r="EC38" s="596"/>
      <c r="ED38" s="596"/>
      <c r="EE38" s="596"/>
      <c r="EF38" s="596"/>
      <c r="EG38" s="596"/>
      <c r="EH38" s="596"/>
      <c r="EI38" s="596"/>
      <c r="EJ38" s="596"/>
      <c r="EK38" s="596"/>
      <c r="EL38" s="596"/>
      <c r="EM38" s="596"/>
      <c r="EN38" s="596"/>
      <c r="EO38" s="596"/>
      <c r="EP38" s="596"/>
      <c r="EQ38" s="596"/>
      <c r="ER38" s="596"/>
      <c r="ES38" s="596"/>
      <c r="ET38" s="596"/>
      <c r="EU38" s="596"/>
      <c r="EV38" s="596"/>
      <c r="EW38" s="596"/>
      <c r="EX38" s="596"/>
      <c r="EY38" s="596"/>
      <c r="EZ38" s="596"/>
      <c r="FA38" s="596"/>
      <c r="FB38" s="596"/>
      <c r="FC38" s="596"/>
      <c r="FD38" s="596"/>
      <c r="FE38" s="596"/>
      <c r="FF38" s="596"/>
      <c r="FG38" s="596"/>
      <c r="FH38" s="596"/>
      <c r="FI38" s="596"/>
      <c r="FJ38" s="596"/>
      <c r="FK38" s="596"/>
      <c r="FL38" s="596"/>
      <c r="FM38" s="596"/>
      <c r="FN38" s="596"/>
      <c r="FO38" s="596"/>
      <c r="FP38" s="596"/>
      <c r="FQ38" s="596"/>
      <c r="FR38" s="596"/>
      <c r="FS38" s="596"/>
      <c r="FT38" s="596"/>
      <c r="FU38" s="596"/>
      <c r="FV38" s="596"/>
      <c r="FW38" s="596"/>
      <c r="FX38" s="596"/>
      <c r="FY38" s="596"/>
      <c r="FZ38" s="596"/>
      <c r="GA38" s="596"/>
      <c r="GB38" s="596"/>
      <c r="GC38" s="596"/>
      <c r="GD38" s="596"/>
      <c r="GE38" s="596"/>
      <c r="GF38" s="596"/>
      <c r="GG38" s="596"/>
      <c r="GH38" s="596"/>
      <c r="GI38" s="596"/>
      <c r="GJ38" s="596"/>
      <c r="GK38" s="596"/>
      <c r="GL38" s="596"/>
      <c r="GM38" s="596"/>
      <c r="GN38" s="596"/>
      <c r="GO38" s="596"/>
      <c r="GP38" s="596"/>
      <c r="GQ38" s="596"/>
      <c r="GR38" s="596"/>
      <c r="GS38" s="596"/>
      <c r="GT38" s="596"/>
      <c r="GU38" s="596"/>
      <c r="GV38" s="596"/>
      <c r="GW38" s="596"/>
      <c r="GX38" s="596"/>
      <c r="GY38" s="596"/>
      <c r="GZ38" s="596"/>
      <c r="HA38" s="596"/>
      <c r="HB38" s="596"/>
      <c r="HC38" s="596"/>
      <c r="HD38" s="596"/>
      <c r="HE38" s="596"/>
      <c r="HF38" s="596"/>
      <c r="HG38" s="596"/>
      <c r="HH38" s="596"/>
      <c r="HI38" s="596"/>
      <c r="HJ38" s="596"/>
      <c r="HK38" s="596"/>
      <c r="HL38" s="596"/>
      <c r="HM38" s="596"/>
      <c r="HN38" s="596"/>
      <c r="HO38" s="596"/>
      <c r="HP38" s="596"/>
      <c r="HQ38" s="596"/>
      <c r="HR38" s="596"/>
      <c r="HS38" s="596"/>
      <c r="HT38" s="596"/>
      <c r="HU38" s="596"/>
      <c r="HV38" s="596"/>
      <c r="HW38" s="596"/>
      <c r="HX38" s="596"/>
      <c r="HY38" s="596"/>
      <c r="HZ38" s="596"/>
      <c r="IA38" s="596"/>
      <c r="IB38" s="596"/>
      <c r="IC38" s="596"/>
      <c r="ID38" s="596"/>
      <c r="IE38" s="596"/>
      <c r="IF38" s="596"/>
      <c r="IG38" s="596"/>
      <c r="IH38" s="596"/>
      <c r="II38" s="596"/>
      <c r="IJ38" s="596"/>
      <c r="IK38" s="596"/>
      <c r="IL38" s="596"/>
      <c r="IM38" s="596"/>
      <c r="IN38" s="596"/>
      <c r="IO38" s="596"/>
      <c r="IP38" s="596"/>
      <c r="IQ38" s="596"/>
      <c r="IR38" s="596"/>
      <c r="IS38" s="596"/>
      <c r="IT38" s="596"/>
      <c r="IU38" s="596"/>
      <c r="IV38" s="596"/>
    </row>
    <row r="39" spans="1:256">
      <c r="A39" s="600">
        <f>+A38+1</f>
        <v>22</v>
      </c>
      <c r="B39" s="602" t="s">
        <v>505</v>
      </c>
      <c r="C39" s="602"/>
      <c r="D39" s="602"/>
      <c r="E39" s="602" t="str">
        <f>"Line "&amp;A37&amp;" less Line "&amp;A38</f>
        <v>Line 20 less Line 21</v>
      </c>
      <c r="F39" s="598"/>
      <c r="G39" s="596"/>
      <c r="H39" s="603">
        <f>+H37-H38</f>
        <v>0</v>
      </c>
      <c r="I39" s="598"/>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c r="BE39" s="596"/>
      <c r="BF39" s="596"/>
      <c r="BG39" s="596"/>
      <c r="BH39" s="596"/>
      <c r="BI39" s="596"/>
      <c r="BJ39" s="596"/>
      <c r="BK39" s="596"/>
      <c r="BL39" s="596"/>
      <c r="BM39" s="596"/>
      <c r="BN39" s="596"/>
      <c r="BO39" s="596"/>
      <c r="BP39" s="596"/>
      <c r="BQ39" s="596"/>
      <c r="BR39" s="596"/>
      <c r="BS39" s="596"/>
      <c r="BT39" s="596"/>
      <c r="BU39" s="596"/>
      <c r="BV39" s="596"/>
      <c r="BW39" s="596"/>
      <c r="BX39" s="596"/>
      <c r="BY39" s="596"/>
      <c r="BZ39" s="596"/>
      <c r="CA39" s="596"/>
      <c r="CB39" s="596"/>
      <c r="CC39" s="596"/>
      <c r="CD39" s="596"/>
      <c r="CE39" s="596"/>
      <c r="CF39" s="596"/>
      <c r="CG39" s="596"/>
      <c r="CH39" s="596"/>
      <c r="CI39" s="596"/>
      <c r="CJ39" s="596"/>
      <c r="CK39" s="596"/>
      <c r="CL39" s="596"/>
      <c r="CM39" s="596"/>
      <c r="CN39" s="596"/>
      <c r="CO39" s="596"/>
      <c r="CP39" s="596"/>
      <c r="CQ39" s="596"/>
      <c r="CR39" s="596"/>
      <c r="CS39" s="596"/>
      <c r="CT39" s="596"/>
      <c r="CU39" s="596"/>
      <c r="CV39" s="596"/>
      <c r="CW39" s="596"/>
      <c r="CX39" s="596"/>
      <c r="CY39" s="596"/>
      <c r="CZ39" s="596"/>
      <c r="DA39" s="596"/>
      <c r="DB39" s="596"/>
      <c r="DC39" s="596"/>
      <c r="DD39" s="596"/>
      <c r="DE39" s="596"/>
      <c r="DF39" s="596"/>
      <c r="DG39" s="596"/>
      <c r="DH39" s="596"/>
      <c r="DI39" s="596"/>
      <c r="DJ39" s="596"/>
      <c r="DK39" s="596"/>
      <c r="DL39" s="596"/>
      <c r="DM39" s="596"/>
      <c r="DN39" s="596"/>
      <c r="DO39" s="596"/>
      <c r="DP39" s="596"/>
      <c r="DQ39" s="596"/>
      <c r="DR39" s="596"/>
      <c r="DS39" s="596"/>
      <c r="DT39" s="596"/>
      <c r="DU39" s="596"/>
      <c r="DV39" s="596"/>
      <c r="DW39" s="596"/>
      <c r="DX39" s="596"/>
      <c r="DY39" s="596"/>
      <c r="DZ39" s="596"/>
      <c r="EA39" s="596"/>
      <c r="EB39" s="596"/>
      <c r="EC39" s="596"/>
      <c r="ED39" s="596"/>
      <c r="EE39" s="596"/>
      <c r="EF39" s="596"/>
      <c r="EG39" s="596"/>
      <c r="EH39" s="596"/>
      <c r="EI39" s="596"/>
      <c r="EJ39" s="596"/>
      <c r="EK39" s="596"/>
      <c r="EL39" s="596"/>
      <c r="EM39" s="596"/>
      <c r="EN39" s="596"/>
      <c r="EO39" s="596"/>
      <c r="EP39" s="596"/>
      <c r="EQ39" s="596"/>
      <c r="ER39" s="596"/>
      <c r="ES39" s="596"/>
      <c r="ET39" s="596"/>
      <c r="EU39" s="596"/>
      <c r="EV39" s="596"/>
      <c r="EW39" s="596"/>
      <c r="EX39" s="596"/>
      <c r="EY39" s="596"/>
      <c r="EZ39" s="596"/>
      <c r="FA39" s="596"/>
      <c r="FB39" s="596"/>
      <c r="FC39" s="596"/>
      <c r="FD39" s="596"/>
      <c r="FE39" s="596"/>
      <c r="FF39" s="596"/>
      <c r="FG39" s="596"/>
      <c r="FH39" s="596"/>
      <c r="FI39" s="596"/>
      <c r="FJ39" s="596"/>
      <c r="FK39" s="596"/>
      <c r="FL39" s="596"/>
      <c r="FM39" s="596"/>
      <c r="FN39" s="596"/>
      <c r="FO39" s="596"/>
      <c r="FP39" s="596"/>
      <c r="FQ39" s="596"/>
      <c r="FR39" s="596"/>
      <c r="FS39" s="596"/>
      <c r="FT39" s="596"/>
      <c r="FU39" s="596"/>
      <c r="FV39" s="596"/>
      <c r="FW39" s="596"/>
      <c r="FX39" s="596"/>
      <c r="FY39" s="596"/>
      <c r="FZ39" s="596"/>
      <c r="GA39" s="596"/>
      <c r="GB39" s="596"/>
      <c r="GC39" s="596"/>
      <c r="GD39" s="596"/>
      <c r="GE39" s="596"/>
      <c r="GF39" s="596"/>
      <c r="GG39" s="596"/>
      <c r="GH39" s="596"/>
      <c r="GI39" s="596"/>
      <c r="GJ39" s="596"/>
      <c r="GK39" s="596"/>
      <c r="GL39" s="596"/>
      <c r="GM39" s="596"/>
      <c r="GN39" s="596"/>
      <c r="GO39" s="596"/>
      <c r="GP39" s="596"/>
      <c r="GQ39" s="596"/>
      <c r="GR39" s="596"/>
      <c r="GS39" s="596"/>
      <c r="GT39" s="596"/>
      <c r="GU39" s="596"/>
      <c r="GV39" s="596"/>
      <c r="GW39" s="596"/>
      <c r="GX39" s="596"/>
      <c r="GY39" s="596"/>
      <c r="GZ39" s="596"/>
      <c r="HA39" s="596"/>
      <c r="HB39" s="596"/>
      <c r="HC39" s="596"/>
      <c r="HD39" s="596"/>
      <c r="HE39" s="596"/>
      <c r="HF39" s="596"/>
      <c r="HG39" s="596"/>
      <c r="HH39" s="596"/>
      <c r="HI39" s="596"/>
      <c r="HJ39" s="596"/>
      <c r="HK39" s="596"/>
      <c r="HL39" s="596"/>
      <c r="HM39" s="596"/>
      <c r="HN39" s="596"/>
      <c r="HO39" s="596"/>
      <c r="HP39" s="596"/>
      <c r="HQ39" s="596"/>
      <c r="HR39" s="596"/>
      <c r="HS39" s="596"/>
      <c r="HT39" s="596"/>
      <c r="HU39" s="596"/>
      <c r="HV39" s="596"/>
      <c r="HW39" s="596"/>
      <c r="HX39" s="596"/>
      <c r="HY39" s="596"/>
      <c r="HZ39" s="596"/>
      <c r="IA39" s="596"/>
      <c r="IB39" s="596"/>
      <c r="IC39" s="596"/>
      <c r="ID39" s="596"/>
      <c r="IE39" s="596"/>
      <c r="IF39" s="596"/>
      <c r="IG39" s="596"/>
      <c r="IH39" s="596"/>
      <c r="II39" s="596"/>
      <c r="IJ39" s="596"/>
      <c r="IK39" s="596"/>
      <c r="IL39" s="596"/>
      <c r="IM39" s="596"/>
      <c r="IN39" s="596"/>
      <c r="IO39" s="596"/>
      <c r="IP39" s="596"/>
      <c r="IQ39" s="596"/>
      <c r="IR39" s="596"/>
      <c r="IS39" s="596"/>
      <c r="IT39" s="596"/>
      <c r="IU39" s="596"/>
      <c r="IV39" s="596"/>
    </row>
    <row r="40" spans="1:256">
      <c r="A40" s="600">
        <f>+A39+1</f>
        <v>23</v>
      </c>
      <c r="B40" s="602" t="s">
        <v>506</v>
      </c>
      <c r="C40" s="602"/>
      <c r="D40" s="602"/>
      <c r="E40" s="602" t="str">
        <f>"Line "&amp;A39&amp;" / 12"</f>
        <v>Line 22 / 12</v>
      </c>
      <c r="F40" s="598"/>
      <c r="G40" s="596"/>
      <c r="H40" s="604">
        <f>+H39/12</f>
        <v>0</v>
      </c>
      <c r="I40" s="598"/>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6"/>
      <c r="CK40" s="596"/>
      <c r="CL40" s="596"/>
      <c r="CM40" s="596"/>
      <c r="CN40" s="596"/>
      <c r="CO40" s="596"/>
      <c r="CP40" s="596"/>
      <c r="CQ40" s="596"/>
      <c r="CR40" s="596"/>
      <c r="CS40" s="596"/>
      <c r="CT40" s="596"/>
      <c r="CU40" s="596"/>
      <c r="CV40" s="596"/>
      <c r="CW40" s="596"/>
      <c r="CX40" s="596"/>
      <c r="CY40" s="596"/>
      <c r="CZ40" s="596"/>
      <c r="DA40" s="596"/>
      <c r="DB40" s="596"/>
      <c r="DC40" s="596"/>
      <c r="DD40" s="596"/>
      <c r="DE40" s="596"/>
      <c r="DF40" s="596"/>
      <c r="DG40" s="596"/>
      <c r="DH40" s="596"/>
      <c r="DI40" s="596"/>
      <c r="DJ40" s="596"/>
      <c r="DK40" s="596"/>
      <c r="DL40" s="596"/>
      <c r="DM40" s="596"/>
      <c r="DN40" s="596"/>
      <c r="DO40" s="596"/>
      <c r="DP40" s="596"/>
      <c r="DQ40" s="596"/>
      <c r="DR40" s="596"/>
      <c r="DS40" s="596"/>
      <c r="DT40" s="596"/>
      <c r="DU40" s="596"/>
      <c r="DV40" s="596"/>
      <c r="DW40" s="596"/>
      <c r="DX40" s="596"/>
      <c r="DY40" s="596"/>
      <c r="DZ40" s="596"/>
      <c r="EA40" s="596"/>
      <c r="EB40" s="596"/>
      <c r="EC40" s="596"/>
      <c r="ED40" s="596"/>
      <c r="EE40" s="596"/>
      <c r="EF40" s="596"/>
      <c r="EG40" s="596"/>
      <c r="EH40" s="596"/>
      <c r="EI40" s="596"/>
      <c r="EJ40" s="596"/>
      <c r="EK40" s="596"/>
      <c r="EL40" s="596"/>
      <c r="EM40" s="596"/>
      <c r="EN40" s="596"/>
      <c r="EO40" s="596"/>
      <c r="EP40" s="596"/>
      <c r="EQ40" s="596"/>
      <c r="ER40" s="596"/>
      <c r="ES40" s="596"/>
      <c r="ET40" s="596"/>
      <c r="EU40" s="596"/>
      <c r="EV40" s="596"/>
      <c r="EW40" s="596"/>
      <c r="EX40" s="596"/>
      <c r="EY40" s="596"/>
      <c r="EZ40" s="596"/>
      <c r="FA40" s="596"/>
      <c r="FB40" s="596"/>
      <c r="FC40" s="596"/>
      <c r="FD40" s="596"/>
      <c r="FE40" s="596"/>
      <c r="FF40" s="596"/>
      <c r="FG40" s="596"/>
      <c r="FH40" s="596"/>
      <c r="FI40" s="596"/>
      <c r="FJ40" s="596"/>
      <c r="FK40" s="596"/>
      <c r="FL40" s="596"/>
      <c r="FM40" s="596"/>
      <c r="FN40" s="596"/>
      <c r="FO40" s="596"/>
      <c r="FP40" s="596"/>
      <c r="FQ40" s="596"/>
      <c r="FR40" s="596"/>
      <c r="FS40" s="596"/>
      <c r="FT40" s="596"/>
      <c r="FU40" s="596"/>
      <c r="FV40" s="596"/>
      <c r="FW40" s="596"/>
      <c r="FX40" s="596"/>
      <c r="FY40" s="596"/>
      <c r="FZ40" s="596"/>
      <c r="GA40" s="596"/>
      <c r="GB40" s="596"/>
      <c r="GC40" s="596"/>
      <c r="GD40" s="596"/>
      <c r="GE40" s="596"/>
      <c r="GF40" s="596"/>
      <c r="GG40" s="596"/>
      <c r="GH40" s="596"/>
      <c r="GI40" s="596"/>
      <c r="GJ40" s="596"/>
      <c r="GK40" s="596"/>
      <c r="GL40" s="596"/>
      <c r="GM40" s="596"/>
      <c r="GN40" s="596"/>
      <c r="GO40" s="596"/>
      <c r="GP40" s="596"/>
      <c r="GQ40" s="596"/>
      <c r="GR40" s="596"/>
      <c r="GS40" s="596"/>
      <c r="GT40" s="596"/>
      <c r="GU40" s="596"/>
      <c r="GV40" s="596"/>
      <c r="GW40" s="596"/>
      <c r="GX40" s="596"/>
      <c r="GY40" s="596"/>
      <c r="GZ40" s="596"/>
      <c r="HA40" s="596"/>
      <c r="HB40" s="596"/>
      <c r="HC40" s="596"/>
      <c r="HD40" s="596"/>
      <c r="HE40" s="596"/>
      <c r="HF40" s="596"/>
      <c r="HG40" s="596"/>
      <c r="HH40" s="596"/>
      <c r="HI40" s="596"/>
      <c r="HJ40" s="596"/>
      <c r="HK40" s="596"/>
      <c r="HL40" s="596"/>
      <c r="HM40" s="596"/>
      <c r="HN40" s="596"/>
      <c r="HO40" s="596"/>
      <c r="HP40" s="596"/>
      <c r="HQ40" s="596"/>
      <c r="HR40" s="596"/>
      <c r="HS40" s="596"/>
      <c r="HT40" s="596"/>
      <c r="HU40" s="596"/>
      <c r="HV40" s="596"/>
      <c r="HW40" s="596"/>
      <c r="HX40" s="596"/>
      <c r="HY40" s="596"/>
      <c r="HZ40" s="596"/>
      <c r="IA40" s="596"/>
      <c r="IB40" s="596"/>
      <c r="IC40" s="596"/>
      <c r="ID40" s="596"/>
      <c r="IE40" s="596"/>
      <c r="IF40" s="596"/>
      <c r="IG40" s="596"/>
      <c r="IH40" s="596"/>
      <c r="II40" s="596"/>
      <c r="IJ40" s="596"/>
      <c r="IK40" s="596"/>
      <c r="IL40" s="596"/>
      <c r="IM40" s="596"/>
      <c r="IN40" s="596"/>
      <c r="IO40" s="596"/>
      <c r="IP40" s="596"/>
      <c r="IQ40" s="596"/>
      <c r="IR40" s="596"/>
      <c r="IS40" s="596"/>
      <c r="IT40" s="596"/>
      <c r="IU40" s="596"/>
      <c r="IV40" s="596"/>
    </row>
    <row r="41" spans="1:256">
      <c r="A41" s="602"/>
      <c r="B41" s="602"/>
      <c r="C41" s="602"/>
      <c r="D41" s="602"/>
      <c r="E41" s="598"/>
      <c r="F41" s="598"/>
      <c r="G41" s="598"/>
      <c r="H41" s="598"/>
      <c r="I41" s="598"/>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c r="BP41" s="596"/>
      <c r="BQ41" s="596"/>
      <c r="BR41" s="596"/>
      <c r="BS41" s="596"/>
      <c r="BT41" s="596"/>
      <c r="BU41" s="596"/>
      <c r="BV41" s="596"/>
      <c r="BW41" s="596"/>
      <c r="BX41" s="596"/>
      <c r="BY41" s="596"/>
      <c r="BZ41" s="596"/>
      <c r="CA41" s="596"/>
      <c r="CB41" s="596"/>
      <c r="CC41" s="596"/>
      <c r="CD41" s="596"/>
      <c r="CE41" s="596"/>
      <c r="CF41" s="596"/>
      <c r="CG41" s="596"/>
      <c r="CH41" s="596"/>
      <c r="CI41" s="596"/>
      <c r="CJ41" s="596"/>
      <c r="CK41" s="596"/>
      <c r="CL41" s="596"/>
      <c r="CM41" s="596"/>
      <c r="CN41" s="596"/>
      <c r="CO41" s="596"/>
      <c r="CP41" s="596"/>
      <c r="CQ41" s="596"/>
      <c r="CR41" s="596"/>
      <c r="CS41" s="596"/>
      <c r="CT41" s="596"/>
      <c r="CU41" s="596"/>
      <c r="CV41" s="596"/>
      <c r="CW41" s="596"/>
      <c r="CX41" s="596"/>
      <c r="CY41" s="596"/>
      <c r="CZ41" s="596"/>
      <c r="DA41" s="596"/>
      <c r="DB41" s="596"/>
      <c r="DC41" s="596"/>
      <c r="DD41" s="596"/>
      <c r="DE41" s="596"/>
      <c r="DF41" s="596"/>
      <c r="DG41" s="596"/>
      <c r="DH41" s="596"/>
      <c r="DI41" s="596"/>
      <c r="DJ41" s="596"/>
      <c r="DK41" s="596"/>
      <c r="DL41" s="596"/>
      <c r="DM41" s="596"/>
      <c r="DN41" s="596"/>
      <c r="DO41" s="596"/>
      <c r="DP41" s="596"/>
      <c r="DQ41" s="596"/>
      <c r="DR41" s="596"/>
      <c r="DS41" s="596"/>
      <c r="DT41" s="596"/>
      <c r="DU41" s="596"/>
      <c r="DV41" s="596"/>
      <c r="DW41" s="596"/>
      <c r="DX41" s="596"/>
      <c r="DY41" s="596"/>
      <c r="DZ41" s="596"/>
      <c r="EA41" s="596"/>
      <c r="EB41" s="596"/>
      <c r="EC41" s="596"/>
      <c r="ED41" s="596"/>
      <c r="EE41" s="596"/>
      <c r="EF41" s="596"/>
      <c r="EG41" s="596"/>
      <c r="EH41" s="596"/>
      <c r="EI41" s="596"/>
      <c r="EJ41" s="596"/>
      <c r="EK41" s="596"/>
      <c r="EL41" s="596"/>
      <c r="EM41" s="596"/>
      <c r="EN41" s="596"/>
      <c r="EO41" s="596"/>
      <c r="EP41" s="596"/>
      <c r="EQ41" s="596"/>
      <c r="ER41" s="596"/>
      <c r="ES41" s="596"/>
      <c r="ET41" s="596"/>
      <c r="EU41" s="596"/>
      <c r="EV41" s="596"/>
      <c r="EW41" s="596"/>
      <c r="EX41" s="596"/>
      <c r="EY41" s="596"/>
      <c r="EZ41" s="596"/>
      <c r="FA41" s="596"/>
      <c r="FB41" s="596"/>
      <c r="FC41" s="596"/>
      <c r="FD41" s="596"/>
      <c r="FE41" s="596"/>
      <c r="FF41" s="596"/>
      <c r="FG41" s="596"/>
      <c r="FH41" s="596"/>
      <c r="FI41" s="596"/>
      <c r="FJ41" s="596"/>
      <c r="FK41" s="596"/>
      <c r="FL41" s="596"/>
      <c r="FM41" s="596"/>
      <c r="FN41" s="596"/>
      <c r="FO41" s="596"/>
      <c r="FP41" s="596"/>
      <c r="FQ41" s="596"/>
      <c r="FR41" s="596"/>
      <c r="FS41" s="596"/>
      <c r="FT41" s="596"/>
      <c r="FU41" s="596"/>
      <c r="FV41" s="596"/>
      <c r="FW41" s="596"/>
      <c r="FX41" s="596"/>
      <c r="FY41" s="596"/>
      <c r="FZ41" s="596"/>
      <c r="GA41" s="596"/>
      <c r="GB41" s="596"/>
      <c r="GC41" s="596"/>
      <c r="GD41" s="596"/>
      <c r="GE41" s="596"/>
      <c r="GF41" s="596"/>
      <c r="GG41" s="596"/>
      <c r="GH41" s="596"/>
      <c r="GI41" s="596"/>
      <c r="GJ41" s="596"/>
      <c r="GK41" s="596"/>
      <c r="GL41" s="596"/>
      <c r="GM41" s="596"/>
      <c r="GN41" s="596"/>
      <c r="GO41" s="596"/>
      <c r="GP41" s="596"/>
      <c r="GQ41" s="596"/>
      <c r="GR41" s="596"/>
      <c r="GS41" s="596"/>
      <c r="GT41" s="596"/>
      <c r="GU41" s="596"/>
      <c r="GV41" s="596"/>
      <c r="GW41" s="596"/>
      <c r="GX41" s="596"/>
      <c r="GY41" s="596"/>
      <c r="GZ41" s="596"/>
      <c r="HA41" s="596"/>
      <c r="HB41" s="596"/>
      <c r="HC41" s="596"/>
      <c r="HD41" s="596"/>
      <c r="HE41" s="596"/>
      <c r="HF41" s="596"/>
      <c r="HG41" s="596"/>
      <c r="HH41" s="596"/>
      <c r="HI41" s="596"/>
      <c r="HJ41" s="596"/>
      <c r="HK41" s="596"/>
      <c r="HL41" s="596"/>
      <c r="HM41" s="596"/>
      <c r="HN41" s="596"/>
      <c r="HO41" s="596"/>
      <c r="HP41" s="596"/>
      <c r="HQ41" s="596"/>
      <c r="HR41" s="596"/>
      <c r="HS41" s="596"/>
      <c r="HT41" s="596"/>
      <c r="HU41" s="596"/>
      <c r="HV41" s="596"/>
      <c r="HW41" s="596"/>
      <c r="HX41" s="596"/>
      <c r="HY41" s="596"/>
      <c r="HZ41" s="596"/>
      <c r="IA41" s="596"/>
      <c r="IB41" s="596"/>
      <c r="IC41" s="596"/>
      <c r="ID41" s="596"/>
      <c r="IE41" s="596"/>
      <c r="IF41" s="596"/>
      <c r="IG41" s="596"/>
      <c r="IH41" s="596"/>
      <c r="II41" s="596"/>
      <c r="IJ41" s="596"/>
      <c r="IK41" s="596"/>
      <c r="IL41" s="596"/>
      <c r="IM41" s="596"/>
      <c r="IN41" s="596"/>
      <c r="IO41" s="596"/>
      <c r="IP41" s="596"/>
      <c r="IQ41" s="596"/>
      <c r="IR41" s="596"/>
      <c r="IS41" s="596"/>
      <c r="IT41" s="596"/>
      <c r="IU41" s="596"/>
      <c r="IV41" s="596"/>
    </row>
    <row r="42" spans="1:256" ht="15.75">
      <c r="A42" s="596"/>
      <c r="B42" s="605" t="s">
        <v>298</v>
      </c>
      <c r="C42" s="605" t="s">
        <v>299</v>
      </c>
      <c r="D42" s="605" t="s">
        <v>47</v>
      </c>
      <c r="E42" s="605" t="s">
        <v>301</v>
      </c>
      <c r="F42" s="605" t="s">
        <v>226</v>
      </c>
      <c r="G42" s="605" t="s">
        <v>227</v>
      </c>
      <c r="H42" s="605" t="s">
        <v>228</v>
      </c>
      <c r="I42" s="605" t="s">
        <v>233</v>
      </c>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6"/>
      <c r="BW42" s="596"/>
      <c r="BX42" s="596"/>
      <c r="BY42" s="596"/>
      <c r="BZ42" s="596"/>
      <c r="CA42" s="596"/>
      <c r="CB42" s="596"/>
      <c r="CC42" s="596"/>
      <c r="CD42" s="596"/>
      <c r="CE42" s="596"/>
      <c r="CF42" s="596"/>
      <c r="CG42" s="596"/>
      <c r="CH42" s="596"/>
      <c r="CI42" s="596"/>
      <c r="CJ42" s="596"/>
      <c r="CK42" s="596"/>
      <c r="CL42" s="596"/>
      <c r="CM42" s="596"/>
      <c r="CN42" s="596"/>
      <c r="CO42" s="596"/>
      <c r="CP42" s="596"/>
      <c r="CQ42" s="596"/>
      <c r="CR42" s="596"/>
      <c r="CS42" s="596"/>
      <c r="CT42" s="596"/>
      <c r="CU42" s="596"/>
      <c r="CV42" s="596"/>
      <c r="CW42" s="596"/>
      <c r="CX42" s="596"/>
      <c r="CY42" s="596"/>
      <c r="CZ42" s="596"/>
      <c r="DA42" s="596"/>
      <c r="DB42" s="596"/>
      <c r="DC42" s="596"/>
      <c r="DD42" s="596"/>
      <c r="DE42" s="596"/>
      <c r="DF42" s="596"/>
      <c r="DG42" s="596"/>
      <c r="DH42" s="596"/>
      <c r="DI42" s="596"/>
      <c r="DJ42" s="596"/>
      <c r="DK42" s="596"/>
      <c r="DL42" s="596"/>
      <c r="DM42" s="596"/>
      <c r="DN42" s="596"/>
      <c r="DO42" s="596"/>
      <c r="DP42" s="596"/>
      <c r="DQ42" s="596"/>
      <c r="DR42" s="596"/>
      <c r="DS42" s="596"/>
      <c r="DT42" s="596"/>
      <c r="DU42" s="596"/>
      <c r="DV42" s="596"/>
      <c r="DW42" s="596"/>
      <c r="DX42" s="596"/>
      <c r="DY42" s="596"/>
      <c r="DZ42" s="596"/>
      <c r="EA42" s="596"/>
      <c r="EB42" s="596"/>
      <c r="EC42" s="596"/>
      <c r="ED42" s="596"/>
      <c r="EE42" s="596"/>
      <c r="EF42" s="596"/>
      <c r="EG42" s="596"/>
      <c r="EH42" s="596"/>
      <c r="EI42" s="596"/>
      <c r="EJ42" s="596"/>
      <c r="EK42" s="596"/>
      <c r="EL42" s="596"/>
      <c r="EM42" s="596"/>
      <c r="EN42" s="596"/>
      <c r="EO42" s="596"/>
      <c r="EP42" s="596"/>
      <c r="EQ42" s="596"/>
      <c r="ER42" s="596"/>
      <c r="ES42" s="596"/>
      <c r="ET42" s="596"/>
      <c r="EU42" s="596"/>
      <c r="EV42" s="596"/>
      <c r="EW42" s="596"/>
      <c r="EX42" s="596"/>
      <c r="EY42" s="596"/>
      <c r="EZ42" s="596"/>
      <c r="FA42" s="596"/>
      <c r="FB42" s="596"/>
      <c r="FC42" s="596"/>
      <c r="FD42" s="596"/>
      <c r="FE42" s="596"/>
      <c r="FF42" s="596"/>
      <c r="FG42" s="596"/>
      <c r="FH42" s="596"/>
      <c r="FI42" s="596"/>
      <c r="FJ42" s="596"/>
      <c r="FK42" s="596"/>
      <c r="FL42" s="596"/>
      <c r="FM42" s="596"/>
      <c r="FN42" s="596"/>
      <c r="FO42" s="596"/>
      <c r="FP42" s="596"/>
      <c r="FQ42" s="596"/>
      <c r="FR42" s="596"/>
      <c r="FS42" s="596"/>
      <c r="FT42" s="596"/>
      <c r="FU42" s="596"/>
      <c r="FV42" s="596"/>
      <c r="FW42" s="596"/>
      <c r="FX42" s="596"/>
      <c r="FY42" s="596"/>
      <c r="FZ42" s="596"/>
      <c r="GA42" s="596"/>
      <c r="GB42" s="596"/>
      <c r="GC42" s="596"/>
      <c r="GD42" s="596"/>
      <c r="GE42" s="596"/>
      <c r="GF42" s="596"/>
      <c r="GG42" s="596"/>
      <c r="GH42" s="596"/>
      <c r="GI42" s="596"/>
      <c r="GJ42" s="596"/>
      <c r="GK42" s="596"/>
      <c r="GL42" s="596"/>
      <c r="GM42" s="596"/>
      <c r="GN42" s="596"/>
      <c r="GO42" s="596"/>
      <c r="GP42" s="596"/>
      <c r="GQ42" s="596"/>
      <c r="GR42" s="596"/>
      <c r="GS42" s="596"/>
      <c r="GT42" s="596"/>
      <c r="GU42" s="596"/>
      <c r="GV42" s="596"/>
      <c r="GW42" s="596"/>
      <c r="GX42" s="596"/>
      <c r="GY42" s="596"/>
      <c r="GZ42" s="596"/>
      <c r="HA42" s="596"/>
      <c r="HB42" s="596"/>
      <c r="HC42" s="596"/>
      <c r="HD42" s="596"/>
      <c r="HE42" s="596"/>
      <c r="HF42" s="596"/>
      <c r="HG42" s="596"/>
      <c r="HH42" s="596"/>
      <c r="HI42" s="596"/>
      <c r="HJ42" s="596"/>
      <c r="HK42" s="596"/>
      <c r="HL42" s="596"/>
      <c r="HM42" s="596"/>
      <c r="HN42" s="596"/>
      <c r="HO42" s="596"/>
      <c r="HP42" s="596"/>
      <c r="HQ42" s="596"/>
      <c r="HR42" s="596"/>
      <c r="HS42" s="596"/>
      <c r="HT42" s="596"/>
      <c r="HU42" s="596"/>
      <c r="HV42" s="596"/>
      <c r="HW42" s="596"/>
      <c r="HX42" s="596"/>
      <c r="HY42" s="596"/>
      <c r="HZ42" s="596"/>
      <c r="IA42" s="596"/>
      <c r="IB42" s="596"/>
      <c r="IC42" s="596"/>
      <c r="ID42" s="596"/>
      <c r="IE42" s="596"/>
      <c r="IF42" s="596"/>
      <c r="IG42" s="596"/>
      <c r="IH42" s="596"/>
      <c r="II42" s="596"/>
      <c r="IJ42" s="596"/>
      <c r="IK42" s="596"/>
      <c r="IL42" s="596"/>
      <c r="IM42" s="596"/>
      <c r="IN42" s="596"/>
      <c r="IO42" s="596"/>
      <c r="IP42" s="596"/>
      <c r="IQ42" s="596"/>
      <c r="IR42" s="596"/>
      <c r="IS42" s="596"/>
      <c r="IT42" s="596"/>
      <c r="IU42" s="596"/>
      <c r="IV42" s="596"/>
    </row>
    <row r="43" spans="1:256" ht="39">
      <c r="A43" s="606" t="s">
        <v>305</v>
      </c>
      <c r="B43" s="607" t="s">
        <v>507</v>
      </c>
      <c r="C43" s="607" t="s">
        <v>508</v>
      </c>
      <c r="D43" s="607" t="s">
        <v>516</v>
      </c>
      <c r="E43" s="607" t="s">
        <v>517</v>
      </c>
      <c r="F43" s="607" t="s">
        <v>518</v>
      </c>
      <c r="G43" s="607" t="s">
        <v>519</v>
      </c>
      <c r="H43" s="607" t="s">
        <v>509</v>
      </c>
      <c r="I43" s="607" t="s">
        <v>520</v>
      </c>
      <c r="J43" s="596"/>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c r="CU43" s="608"/>
      <c r="CV43" s="608"/>
      <c r="CW43" s="608"/>
      <c r="CX43" s="608"/>
      <c r="CY43" s="608"/>
      <c r="CZ43" s="608"/>
      <c r="DA43" s="608"/>
      <c r="DB43" s="608"/>
      <c r="DC43" s="608"/>
      <c r="DD43" s="608"/>
      <c r="DE43" s="608"/>
      <c r="DF43" s="608"/>
      <c r="DG43" s="608"/>
      <c r="DH43" s="608"/>
      <c r="DI43" s="608"/>
      <c r="DJ43" s="608"/>
      <c r="DK43" s="608"/>
      <c r="DL43" s="608"/>
      <c r="DM43" s="608"/>
      <c r="DN43" s="608"/>
      <c r="DO43" s="608"/>
      <c r="DP43" s="608"/>
      <c r="DQ43" s="608"/>
      <c r="DR43" s="608"/>
      <c r="DS43" s="608"/>
      <c r="DT43" s="608"/>
      <c r="DU43" s="608"/>
      <c r="DV43" s="608"/>
      <c r="DW43" s="608"/>
      <c r="DX43" s="608"/>
      <c r="DY43" s="608"/>
      <c r="DZ43" s="608"/>
      <c r="EA43" s="608"/>
      <c r="EB43" s="608"/>
      <c r="EC43" s="608"/>
      <c r="ED43" s="608"/>
      <c r="EE43" s="608"/>
      <c r="EF43" s="608"/>
      <c r="EG43" s="608"/>
      <c r="EH43" s="608"/>
      <c r="EI43" s="608"/>
      <c r="EJ43" s="608"/>
      <c r="EK43" s="608"/>
      <c r="EL43" s="608"/>
      <c r="EM43" s="608"/>
      <c r="EN43" s="608"/>
      <c r="EO43" s="608"/>
      <c r="EP43" s="608"/>
      <c r="EQ43" s="608"/>
      <c r="ER43" s="608"/>
      <c r="ES43" s="608"/>
      <c r="ET43" s="608"/>
      <c r="EU43" s="608"/>
      <c r="EV43" s="608"/>
      <c r="EW43" s="608"/>
      <c r="EX43" s="608"/>
      <c r="EY43" s="608"/>
      <c r="EZ43" s="608"/>
      <c r="FA43" s="608"/>
      <c r="FB43" s="608"/>
      <c r="FC43" s="608"/>
      <c r="FD43" s="608"/>
      <c r="FE43" s="608"/>
      <c r="FF43" s="608"/>
      <c r="FG43" s="608"/>
      <c r="FH43" s="608"/>
      <c r="FI43" s="608"/>
      <c r="FJ43" s="608"/>
      <c r="FK43" s="608"/>
      <c r="FL43" s="608"/>
      <c r="FM43" s="608"/>
      <c r="FN43" s="608"/>
      <c r="FO43" s="608"/>
      <c r="FP43" s="608"/>
      <c r="FQ43" s="608"/>
      <c r="FR43" s="608"/>
      <c r="FS43" s="608"/>
      <c r="FT43" s="608"/>
      <c r="FU43" s="608"/>
      <c r="FV43" s="608"/>
      <c r="FW43" s="608"/>
      <c r="FX43" s="608"/>
      <c r="FY43" s="608"/>
      <c r="FZ43" s="608"/>
      <c r="GA43" s="608"/>
      <c r="GB43" s="608"/>
      <c r="GC43" s="608"/>
      <c r="GD43" s="608"/>
      <c r="GE43" s="608"/>
      <c r="GF43" s="608"/>
      <c r="GG43" s="608"/>
      <c r="GH43" s="608"/>
      <c r="GI43" s="608"/>
      <c r="GJ43" s="608"/>
      <c r="GK43" s="608"/>
      <c r="GL43" s="608"/>
      <c r="GM43" s="608"/>
      <c r="GN43" s="608"/>
      <c r="GO43" s="608"/>
      <c r="GP43" s="608"/>
      <c r="GQ43" s="608"/>
      <c r="GR43" s="608"/>
      <c r="GS43" s="608"/>
      <c r="GT43" s="608"/>
      <c r="GU43" s="608"/>
      <c r="GV43" s="608"/>
      <c r="GW43" s="608"/>
      <c r="GX43" s="608"/>
      <c r="GY43" s="608"/>
      <c r="GZ43" s="608"/>
      <c r="HA43" s="608"/>
      <c r="HB43" s="608"/>
      <c r="HC43" s="608"/>
      <c r="HD43" s="608"/>
      <c r="HE43" s="608"/>
      <c r="HF43" s="608"/>
      <c r="HG43" s="608"/>
      <c r="HH43" s="608"/>
      <c r="HI43" s="608"/>
      <c r="HJ43" s="608"/>
      <c r="HK43" s="608"/>
      <c r="HL43" s="608"/>
      <c r="HM43" s="608"/>
      <c r="HN43" s="608"/>
      <c r="HO43" s="608"/>
      <c r="HP43" s="608"/>
      <c r="HQ43" s="608"/>
      <c r="HR43" s="608"/>
      <c r="HS43" s="608"/>
      <c r="HT43" s="608"/>
      <c r="HU43" s="608"/>
      <c r="HV43" s="608"/>
      <c r="HW43" s="608"/>
      <c r="HX43" s="608"/>
      <c r="HY43" s="608"/>
      <c r="HZ43" s="608"/>
      <c r="IA43" s="608"/>
      <c r="IB43" s="608"/>
      <c r="IC43" s="608"/>
      <c r="ID43" s="608"/>
      <c r="IE43" s="608"/>
      <c r="IF43" s="608"/>
      <c r="IG43" s="608"/>
      <c r="IH43" s="608"/>
      <c r="II43" s="608"/>
      <c r="IJ43" s="608"/>
      <c r="IK43" s="608"/>
      <c r="IL43" s="608"/>
      <c r="IM43" s="608"/>
      <c r="IN43" s="608"/>
      <c r="IO43" s="608"/>
      <c r="IP43" s="608"/>
      <c r="IQ43" s="608"/>
      <c r="IR43" s="608"/>
      <c r="IS43" s="608"/>
      <c r="IT43" s="608"/>
      <c r="IU43" s="608"/>
      <c r="IV43" s="608"/>
    </row>
    <row r="44" spans="1:256">
      <c r="A44" s="600">
        <f>+A40+1</f>
        <v>24</v>
      </c>
      <c r="B44" s="597" t="s">
        <v>510</v>
      </c>
      <c r="C44" s="609">
        <f>+H38</f>
        <v>0</v>
      </c>
      <c r="D44" s="609">
        <f>C44</f>
        <v>0</v>
      </c>
      <c r="E44" s="597"/>
      <c r="F44" s="443">
        <v>365</v>
      </c>
      <c r="G44" s="610">
        <f>F44/$F$18</f>
        <v>1</v>
      </c>
      <c r="H44" s="609">
        <f>C44*G44</f>
        <v>0</v>
      </c>
      <c r="I44" s="609">
        <f>H44</f>
        <v>0</v>
      </c>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96"/>
      <c r="AZ44" s="596"/>
      <c r="BA44" s="596"/>
      <c r="BB44" s="596"/>
      <c r="BC44" s="596"/>
      <c r="BD44" s="596"/>
      <c r="BE44" s="596"/>
      <c r="BF44" s="596"/>
      <c r="BG44" s="596"/>
      <c r="BH44" s="596"/>
      <c r="BI44" s="596"/>
      <c r="BJ44" s="596"/>
      <c r="BK44" s="596"/>
      <c r="BL44" s="596"/>
      <c r="BM44" s="596"/>
      <c r="BN44" s="596"/>
      <c r="BO44" s="596"/>
      <c r="BP44" s="596"/>
      <c r="BQ44" s="596"/>
      <c r="BR44" s="596"/>
      <c r="BS44" s="596"/>
      <c r="BT44" s="596"/>
      <c r="BU44" s="596"/>
      <c r="BV44" s="596"/>
      <c r="BW44" s="596"/>
      <c r="BX44" s="596"/>
      <c r="BY44" s="596"/>
      <c r="BZ44" s="596"/>
      <c r="CA44" s="596"/>
      <c r="CB44" s="596"/>
      <c r="CC44" s="596"/>
      <c r="CD44" s="596"/>
      <c r="CE44" s="596"/>
      <c r="CF44" s="596"/>
      <c r="CG44" s="596"/>
      <c r="CH44" s="596"/>
      <c r="CI44" s="596"/>
      <c r="CJ44" s="596"/>
      <c r="CK44" s="596"/>
      <c r="CL44" s="596"/>
      <c r="CM44" s="596"/>
      <c r="CN44" s="596"/>
      <c r="CO44" s="596"/>
      <c r="CP44" s="596"/>
      <c r="CQ44" s="596"/>
      <c r="CR44" s="596"/>
      <c r="CS44" s="596"/>
      <c r="CT44" s="596"/>
      <c r="CU44" s="596"/>
      <c r="CV44" s="596"/>
      <c r="CW44" s="596"/>
      <c r="CX44" s="596"/>
      <c r="CY44" s="596"/>
      <c r="CZ44" s="596"/>
      <c r="DA44" s="596"/>
      <c r="DB44" s="596"/>
      <c r="DC44" s="596"/>
      <c r="DD44" s="596"/>
      <c r="DE44" s="596"/>
      <c r="DF44" s="596"/>
      <c r="DG44" s="596"/>
      <c r="DH44" s="596"/>
      <c r="DI44" s="596"/>
      <c r="DJ44" s="596"/>
      <c r="DK44" s="596"/>
      <c r="DL44" s="596"/>
      <c r="DM44" s="596"/>
      <c r="DN44" s="596"/>
      <c r="DO44" s="596"/>
      <c r="DP44" s="596"/>
      <c r="DQ44" s="596"/>
      <c r="DR44" s="596"/>
      <c r="DS44" s="596"/>
      <c r="DT44" s="596"/>
      <c r="DU44" s="596"/>
      <c r="DV44" s="596"/>
      <c r="DW44" s="596"/>
      <c r="DX44" s="596"/>
      <c r="DY44" s="596"/>
      <c r="DZ44" s="596"/>
      <c r="EA44" s="596"/>
      <c r="EB44" s="596"/>
      <c r="EC44" s="596"/>
      <c r="ED44" s="596"/>
      <c r="EE44" s="596"/>
      <c r="EF44" s="596"/>
      <c r="EG44" s="596"/>
      <c r="EH44" s="596"/>
      <c r="EI44" s="596"/>
      <c r="EJ44" s="596"/>
      <c r="EK44" s="596"/>
      <c r="EL44" s="596"/>
      <c r="EM44" s="596"/>
      <c r="EN44" s="596"/>
      <c r="EO44" s="596"/>
      <c r="EP44" s="596"/>
      <c r="EQ44" s="596"/>
      <c r="ER44" s="596"/>
      <c r="ES44" s="596"/>
      <c r="ET44" s="596"/>
      <c r="EU44" s="596"/>
      <c r="EV44" s="596"/>
      <c r="EW44" s="596"/>
      <c r="EX44" s="596"/>
      <c r="EY44" s="596"/>
      <c r="EZ44" s="596"/>
      <c r="FA44" s="596"/>
      <c r="FB44" s="596"/>
      <c r="FC44" s="596"/>
      <c r="FD44" s="596"/>
      <c r="FE44" s="596"/>
      <c r="FF44" s="596"/>
      <c r="FG44" s="596"/>
      <c r="FH44" s="596"/>
      <c r="FI44" s="596"/>
      <c r="FJ44" s="596"/>
      <c r="FK44" s="596"/>
      <c r="FL44" s="596"/>
      <c r="FM44" s="596"/>
      <c r="FN44" s="596"/>
      <c r="FO44" s="596"/>
      <c r="FP44" s="596"/>
      <c r="FQ44" s="596"/>
      <c r="FR44" s="596"/>
      <c r="FS44" s="596"/>
      <c r="FT44" s="596"/>
      <c r="FU44" s="596"/>
      <c r="FV44" s="596"/>
      <c r="FW44" s="596"/>
      <c r="FX44" s="596"/>
      <c r="FY44" s="596"/>
      <c r="FZ44" s="596"/>
      <c r="GA44" s="596"/>
      <c r="GB44" s="596"/>
      <c r="GC44" s="596"/>
      <c r="GD44" s="596"/>
      <c r="GE44" s="596"/>
      <c r="GF44" s="596"/>
      <c r="GG44" s="596"/>
      <c r="GH44" s="596"/>
      <c r="GI44" s="596"/>
      <c r="GJ44" s="596"/>
      <c r="GK44" s="596"/>
      <c r="GL44" s="596"/>
      <c r="GM44" s="596"/>
      <c r="GN44" s="596"/>
      <c r="GO44" s="596"/>
      <c r="GP44" s="596"/>
      <c r="GQ44" s="596"/>
      <c r="GR44" s="596"/>
      <c r="GS44" s="596"/>
      <c r="GT44" s="596"/>
      <c r="GU44" s="596"/>
      <c r="GV44" s="596"/>
      <c r="GW44" s="596"/>
      <c r="GX44" s="596"/>
      <c r="GY44" s="596"/>
      <c r="GZ44" s="596"/>
      <c r="HA44" s="596"/>
      <c r="HB44" s="596"/>
      <c r="HC44" s="596"/>
      <c r="HD44" s="596"/>
      <c r="HE44" s="596"/>
      <c r="HF44" s="596"/>
      <c r="HG44" s="596"/>
      <c r="HH44" s="596"/>
      <c r="HI44" s="596"/>
      <c r="HJ44" s="596"/>
      <c r="HK44" s="596"/>
      <c r="HL44" s="596"/>
      <c r="HM44" s="596"/>
      <c r="HN44" s="596"/>
      <c r="HO44" s="596"/>
      <c r="HP44" s="596"/>
      <c r="HQ44" s="596"/>
      <c r="HR44" s="596"/>
      <c r="HS44" s="596"/>
      <c r="HT44" s="596"/>
      <c r="HU44" s="596"/>
      <c r="HV44" s="596"/>
      <c r="HW44" s="596"/>
      <c r="HX44" s="596"/>
      <c r="HY44" s="596"/>
      <c r="HZ44" s="596"/>
      <c r="IA44" s="596"/>
      <c r="IB44" s="596"/>
      <c r="IC44" s="596"/>
      <c r="ID44" s="596"/>
      <c r="IE44" s="596"/>
      <c r="IF44" s="596"/>
      <c r="IG44" s="596"/>
      <c r="IH44" s="596"/>
      <c r="II44" s="596"/>
      <c r="IJ44" s="596"/>
      <c r="IK44" s="596"/>
      <c r="IL44" s="596"/>
      <c r="IM44" s="596"/>
      <c r="IN44" s="596"/>
      <c r="IO44" s="596"/>
      <c r="IP44" s="596"/>
      <c r="IQ44" s="596"/>
      <c r="IR44" s="596"/>
      <c r="IS44" s="596"/>
      <c r="IT44" s="596"/>
      <c r="IU44" s="596"/>
      <c r="IV44" s="596"/>
    </row>
    <row r="45" spans="1:256">
      <c r="A45" s="600">
        <f>+A44+1</f>
        <v>25</v>
      </c>
      <c r="B45" s="597" t="s">
        <v>511</v>
      </c>
      <c r="C45" s="609">
        <f>+$H$40</f>
        <v>0</v>
      </c>
      <c r="D45" s="609">
        <f>D44+C45</f>
        <v>0</v>
      </c>
      <c r="E45" s="597">
        <v>31</v>
      </c>
      <c r="F45" s="443">
        <v>335</v>
      </c>
      <c r="G45" s="610">
        <f t="shared" ref="G45:G56" si="6">F45/$F$18</f>
        <v>0.9178082191780822</v>
      </c>
      <c r="H45" s="609">
        <f t="shared" ref="H45:H56" si="7">C45*G45</f>
        <v>0</v>
      </c>
      <c r="I45" s="609">
        <f t="shared" ref="I45:I50" si="8">I44+H45</f>
        <v>0</v>
      </c>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596"/>
      <c r="BA45" s="596"/>
      <c r="BB45" s="596"/>
      <c r="BC45" s="596"/>
      <c r="BD45" s="596"/>
      <c r="BE45" s="596"/>
      <c r="BF45" s="596"/>
      <c r="BG45" s="596"/>
      <c r="BH45" s="596"/>
      <c r="BI45" s="596"/>
      <c r="BJ45" s="596"/>
      <c r="BK45" s="596"/>
      <c r="BL45" s="596"/>
      <c r="BM45" s="596"/>
      <c r="BN45" s="596"/>
      <c r="BO45" s="596"/>
      <c r="BP45" s="596"/>
      <c r="BQ45" s="596"/>
      <c r="BR45" s="596"/>
      <c r="BS45" s="596"/>
      <c r="BT45" s="596"/>
      <c r="BU45" s="596"/>
      <c r="BV45" s="596"/>
      <c r="BW45" s="596"/>
      <c r="BX45" s="596"/>
      <c r="BY45" s="596"/>
      <c r="BZ45" s="596"/>
      <c r="CA45" s="596"/>
      <c r="CB45" s="596"/>
      <c r="CC45" s="596"/>
      <c r="CD45" s="596"/>
      <c r="CE45" s="596"/>
      <c r="CF45" s="596"/>
      <c r="CG45" s="596"/>
      <c r="CH45" s="596"/>
      <c r="CI45" s="596"/>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596"/>
      <c r="DF45" s="596"/>
      <c r="DG45" s="596"/>
      <c r="DH45" s="596"/>
      <c r="DI45" s="596"/>
      <c r="DJ45" s="596"/>
      <c r="DK45" s="596"/>
      <c r="DL45" s="596"/>
      <c r="DM45" s="596"/>
      <c r="DN45" s="596"/>
      <c r="DO45" s="596"/>
      <c r="DP45" s="596"/>
      <c r="DQ45" s="596"/>
      <c r="DR45" s="596"/>
      <c r="DS45" s="596"/>
      <c r="DT45" s="596"/>
      <c r="DU45" s="596"/>
      <c r="DV45" s="596"/>
      <c r="DW45" s="596"/>
      <c r="DX45" s="596"/>
      <c r="DY45" s="596"/>
      <c r="DZ45" s="596"/>
      <c r="EA45" s="596"/>
      <c r="EB45" s="596"/>
      <c r="EC45" s="596"/>
      <c r="ED45" s="596"/>
      <c r="EE45" s="596"/>
      <c r="EF45" s="596"/>
      <c r="EG45" s="596"/>
      <c r="EH45" s="596"/>
      <c r="EI45" s="596"/>
      <c r="EJ45" s="596"/>
      <c r="EK45" s="596"/>
      <c r="EL45" s="596"/>
      <c r="EM45" s="596"/>
      <c r="EN45" s="596"/>
      <c r="EO45" s="596"/>
      <c r="EP45" s="596"/>
      <c r="EQ45" s="596"/>
      <c r="ER45" s="596"/>
      <c r="ES45" s="596"/>
      <c r="ET45" s="596"/>
      <c r="EU45" s="596"/>
      <c r="EV45" s="596"/>
      <c r="EW45" s="596"/>
      <c r="EX45" s="596"/>
      <c r="EY45" s="596"/>
      <c r="EZ45" s="596"/>
      <c r="FA45" s="596"/>
      <c r="FB45" s="596"/>
      <c r="FC45" s="596"/>
      <c r="FD45" s="596"/>
      <c r="FE45" s="596"/>
      <c r="FF45" s="596"/>
      <c r="FG45" s="596"/>
      <c r="FH45" s="596"/>
      <c r="FI45" s="596"/>
      <c r="FJ45" s="596"/>
      <c r="FK45" s="596"/>
      <c r="FL45" s="596"/>
      <c r="FM45" s="596"/>
      <c r="FN45" s="596"/>
      <c r="FO45" s="596"/>
      <c r="FP45" s="596"/>
      <c r="FQ45" s="596"/>
      <c r="FR45" s="596"/>
      <c r="FS45" s="596"/>
      <c r="FT45" s="596"/>
      <c r="FU45" s="596"/>
      <c r="FV45" s="596"/>
      <c r="FW45" s="596"/>
      <c r="FX45" s="596"/>
      <c r="FY45" s="596"/>
      <c r="FZ45" s="596"/>
      <c r="GA45" s="596"/>
      <c r="GB45" s="596"/>
      <c r="GC45" s="596"/>
      <c r="GD45" s="596"/>
      <c r="GE45" s="596"/>
      <c r="GF45" s="596"/>
      <c r="GG45" s="596"/>
      <c r="GH45" s="596"/>
      <c r="GI45" s="596"/>
      <c r="GJ45" s="596"/>
      <c r="GK45" s="596"/>
      <c r="GL45" s="596"/>
      <c r="GM45" s="596"/>
      <c r="GN45" s="596"/>
      <c r="GO45" s="596"/>
      <c r="GP45" s="596"/>
      <c r="GQ45" s="596"/>
      <c r="GR45" s="596"/>
      <c r="GS45" s="596"/>
      <c r="GT45" s="596"/>
      <c r="GU45" s="596"/>
      <c r="GV45" s="596"/>
      <c r="GW45" s="596"/>
      <c r="GX45" s="596"/>
      <c r="GY45" s="596"/>
      <c r="GZ45" s="596"/>
      <c r="HA45" s="596"/>
      <c r="HB45" s="596"/>
      <c r="HC45" s="596"/>
      <c r="HD45" s="596"/>
      <c r="HE45" s="596"/>
      <c r="HF45" s="596"/>
      <c r="HG45" s="596"/>
      <c r="HH45" s="596"/>
      <c r="HI45" s="596"/>
      <c r="HJ45" s="596"/>
      <c r="HK45" s="596"/>
      <c r="HL45" s="596"/>
      <c r="HM45" s="596"/>
      <c r="HN45" s="596"/>
      <c r="HO45" s="596"/>
      <c r="HP45" s="596"/>
      <c r="HQ45" s="596"/>
      <c r="HR45" s="596"/>
      <c r="HS45" s="596"/>
      <c r="HT45" s="596"/>
      <c r="HU45" s="596"/>
      <c r="HV45" s="596"/>
      <c r="HW45" s="596"/>
      <c r="HX45" s="596"/>
      <c r="HY45" s="596"/>
      <c r="HZ45" s="596"/>
      <c r="IA45" s="596"/>
      <c r="IB45" s="596"/>
      <c r="IC45" s="596"/>
      <c r="ID45" s="596"/>
      <c r="IE45" s="596"/>
      <c r="IF45" s="596"/>
      <c r="IG45" s="596"/>
      <c r="IH45" s="596"/>
      <c r="II45" s="596"/>
      <c r="IJ45" s="596"/>
      <c r="IK45" s="596"/>
      <c r="IL45" s="596"/>
      <c r="IM45" s="596"/>
      <c r="IN45" s="596"/>
      <c r="IO45" s="596"/>
      <c r="IP45" s="596"/>
      <c r="IQ45" s="596"/>
      <c r="IR45" s="596"/>
      <c r="IS45" s="596"/>
      <c r="IT45" s="596"/>
      <c r="IU45" s="596"/>
      <c r="IV45" s="596"/>
    </row>
    <row r="46" spans="1:256">
      <c r="A46" s="600">
        <f t="shared" ref="A46:A56" si="9">+A45+1</f>
        <v>26</v>
      </c>
      <c r="B46" s="597" t="s">
        <v>512</v>
      </c>
      <c r="C46" s="609">
        <f t="shared" ref="C46:C56" si="10">+$H$40</f>
        <v>0</v>
      </c>
      <c r="D46" s="609">
        <f>D45+C46</f>
        <v>0</v>
      </c>
      <c r="E46" s="443">
        <v>28</v>
      </c>
      <c r="F46" s="443">
        <v>307</v>
      </c>
      <c r="G46" s="610">
        <f t="shared" si="6"/>
        <v>0.84109589041095889</v>
      </c>
      <c r="H46" s="609">
        <f t="shared" si="7"/>
        <v>0</v>
      </c>
      <c r="I46" s="609">
        <f t="shared" si="8"/>
        <v>0</v>
      </c>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6"/>
      <c r="BZ46" s="596"/>
      <c r="CA46" s="596"/>
      <c r="CB46" s="596"/>
      <c r="CC46" s="596"/>
      <c r="CD46" s="596"/>
      <c r="CE46" s="596"/>
      <c r="CF46" s="596"/>
      <c r="CG46" s="596"/>
      <c r="CH46" s="596"/>
      <c r="CI46" s="596"/>
      <c r="CJ46" s="596"/>
      <c r="CK46" s="596"/>
      <c r="CL46" s="596"/>
      <c r="CM46" s="596"/>
      <c r="CN46" s="596"/>
      <c r="CO46" s="596"/>
      <c r="CP46" s="596"/>
      <c r="CQ46" s="596"/>
      <c r="CR46" s="596"/>
      <c r="CS46" s="596"/>
      <c r="CT46" s="596"/>
      <c r="CU46" s="596"/>
      <c r="CV46" s="596"/>
      <c r="CW46" s="596"/>
      <c r="CX46" s="596"/>
      <c r="CY46" s="596"/>
      <c r="CZ46" s="596"/>
      <c r="DA46" s="596"/>
      <c r="DB46" s="596"/>
      <c r="DC46" s="596"/>
      <c r="DD46" s="596"/>
      <c r="DE46" s="596"/>
      <c r="DF46" s="596"/>
      <c r="DG46" s="596"/>
      <c r="DH46" s="596"/>
      <c r="DI46" s="596"/>
      <c r="DJ46" s="596"/>
      <c r="DK46" s="596"/>
      <c r="DL46" s="596"/>
      <c r="DM46" s="596"/>
      <c r="DN46" s="596"/>
      <c r="DO46" s="596"/>
      <c r="DP46" s="596"/>
      <c r="DQ46" s="596"/>
      <c r="DR46" s="596"/>
      <c r="DS46" s="596"/>
      <c r="DT46" s="596"/>
      <c r="DU46" s="596"/>
      <c r="DV46" s="596"/>
      <c r="DW46" s="596"/>
      <c r="DX46" s="596"/>
      <c r="DY46" s="596"/>
      <c r="DZ46" s="596"/>
      <c r="EA46" s="596"/>
      <c r="EB46" s="596"/>
      <c r="EC46" s="596"/>
      <c r="ED46" s="596"/>
      <c r="EE46" s="596"/>
      <c r="EF46" s="596"/>
      <c r="EG46" s="596"/>
      <c r="EH46" s="596"/>
      <c r="EI46" s="596"/>
      <c r="EJ46" s="596"/>
      <c r="EK46" s="596"/>
      <c r="EL46" s="596"/>
      <c r="EM46" s="596"/>
      <c r="EN46" s="596"/>
      <c r="EO46" s="596"/>
      <c r="EP46" s="596"/>
      <c r="EQ46" s="596"/>
      <c r="ER46" s="596"/>
      <c r="ES46" s="596"/>
      <c r="ET46" s="596"/>
      <c r="EU46" s="596"/>
      <c r="EV46" s="596"/>
      <c r="EW46" s="596"/>
      <c r="EX46" s="596"/>
      <c r="EY46" s="596"/>
      <c r="EZ46" s="596"/>
      <c r="FA46" s="596"/>
      <c r="FB46" s="596"/>
      <c r="FC46" s="596"/>
      <c r="FD46" s="596"/>
      <c r="FE46" s="596"/>
      <c r="FF46" s="596"/>
      <c r="FG46" s="596"/>
      <c r="FH46" s="596"/>
      <c r="FI46" s="596"/>
      <c r="FJ46" s="596"/>
      <c r="FK46" s="596"/>
      <c r="FL46" s="596"/>
      <c r="FM46" s="596"/>
      <c r="FN46" s="596"/>
      <c r="FO46" s="596"/>
      <c r="FP46" s="596"/>
      <c r="FQ46" s="596"/>
      <c r="FR46" s="596"/>
      <c r="FS46" s="596"/>
      <c r="FT46" s="596"/>
      <c r="FU46" s="596"/>
      <c r="FV46" s="596"/>
      <c r="FW46" s="596"/>
      <c r="FX46" s="596"/>
      <c r="FY46" s="596"/>
      <c r="FZ46" s="596"/>
      <c r="GA46" s="596"/>
      <c r="GB46" s="596"/>
      <c r="GC46" s="596"/>
      <c r="GD46" s="596"/>
      <c r="GE46" s="596"/>
      <c r="GF46" s="596"/>
      <c r="GG46" s="596"/>
      <c r="GH46" s="596"/>
      <c r="GI46" s="596"/>
      <c r="GJ46" s="596"/>
      <c r="GK46" s="596"/>
      <c r="GL46" s="596"/>
      <c r="GM46" s="596"/>
      <c r="GN46" s="596"/>
      <c r="GO46" s="596"/>
      <c r="GP46" s="596"/>
      <c r="GQ46" s="596"/>
      <c r="GR46" s="596"/>
      <c r="GS46" s="596"/>
      <c r="GT46" s="596"/>
      <c r="GU46" s="596"/>
      <c r="GV46" s="596"/>
      <c r="GW46" s="596"/>
      <c r="GX46" s="596"/>
      <c r="GY46" s="596"/>
      <c r="GZ46" s="596"/>
      <c r="HA46" s="596"/>
      <c r="HB46" s="596"/>
      <c r="HC46" s="596"/>
      <c r="HD46" s="596"/>
      <c r="HE46" s="596"/>
      <c r="HF46" s="596"/>
      <c r="HG46" s="596"/>
      <c r="HH46" s="596"/>
      <c r="HI46" s="596"/>
      <c r="HJ46" s="596"/>
      <c r="HK46" s="596"/>
      <c r="HL46" s="596"/>
      <c r="HM46" s="596"/>
      <c r="HN46" s="596"/>
      <c r="HO46" s="596"/>
      <c r="HP46" s="596"/>
      <c r="HQ46" s="596"/>
      <c r="HR46" s="596"/>
      <c r="HS46" s="596"/>
      <c r="HT46" s="596"/>
      <c r="HU46" s="596"/>
      <c r="HV46" s="596"/>
      <c r="HW46" s="596"/>
      <c r="HX46" s="596"/>
      <c r="HY46" s="596"/>
      <c r="HZ46" s="596"/>
      <c r="IA46" s="596"/>
      <c r="IB46" s="596"/>
      <c r="IC46" s="596"/>
      <c r="ID46" s="596"/>
      <c r="IE46" s="596"/>
      <c r="IF46" s="596"/>
      <c r="IG46" s="596"/>
      <c r="IH46" s="596"/>
      <c r="II46" s="596"/>
      <c r="IJ46" s="596"/>
      <c r="IK46" s="596"/>
      <c r="IL46" s="596"/>
      <c r="IM46" s="596"/>
      <c r="IN46" s="596"/>
      <c r="IO46" s="596"/>
      <c r="IP46" s="596"/>
      <c r="IQ46" s="596"/>
      <c r="IR46" s="596"/>
      <c r="IS46" s="596"/>
      <c r="IT46" s="596"/>
      <c r="IU46" s="596"/>
      <c r="IV46" s="596"/>
    </row>
    <row r="47" spans="1:256">
      <c r="A47" s="600">
        <f t="shared" si="9"/>
        <v>27</v>
      </c>
      <c r="B47" s="597" t="s">
        <v>320</v>
      </c>
      <c r="C47" s="609">
        <f t="shared" si="10"/>
        <v>0</v>
      </c>
      <c r="D47" s="609">
        <f>D46+C47</f>
        <v>0</v>
      </c>
      <c r="E47" s="597">
        <v>31</v>
      </c>
      <c r="F47" s="443">
        <v>276</v>
      </c>
      <c r="G47" s="610">
        <f t="shared" si="6"/>
        <v>0.75616438356164384</v>
      </c>
      <c r="H47" s="609">
        <f t="shared" si="7"/>
        <v>0</v>
      </c>
      <c r="I47" s="609">
        <f t="shared" si="8"/>
        <v>0</v>
      </c>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596"/>
      <c r="DF47" s="596"/>
      <c r="DG47" s="596"/>
      <c r="DH47" s="596"/>
      <c r="DI47" s="596"/>
      <c r="DJ47" s="596"/>
      <c r="DK47" s="596"/>
      <c r="DL47" s="596"/>
      <c r="DM47" s="596"/>
      <c r="DN47" s="596"/>
      <c r="DO47" s="596"/>
      <c r="DP47" s="596"/>
      <c r="DQ47" s="596"/>
      <c r="DR47" s="596"/>
      <c r="DS47" s="596"/>
      <c r="DT47" s="596"/>
      <c r="DU47" s="596"/>
      <c r="DV47" s="596"/>
      <c r="DW47" s="596"/>
      <c r="DX47" s="596"/>
      <c r="DY47" s="596"/>
      <c r="DZ47" s="596"/>
      <c r="EA47" s="596"/>
      <c r="EB47" s="596"/>
      <c r="EC47" s="596"/>
      <c r="ED47" s="596"/>
      <c r="EE47" s="596"/>
      <c r="EF47" s="596"/>
      <c r="EG47" s="596"/>
      <c r="EH47" s="596"/>
      <c r="EI47" s="596"/>
      <c r="EJ47" s="596"/>
      <c r="EK47" s="596"/>
      <c r="EL47" s="596"/>
      <c r="EM47" s="596"/>
      <c r="EN47" s="596"/>
      <c r="EO47" s="596"/>
      <c r="EP47" s="596"/>
      <c r="EQ47" s="596"/>
      <c r="ER47" s="596"/>
      <c r="ES47" s="596"/>
      <c r="ET47" s="596"/>
      <c r="EU47" s="596"/>
      <c r="EV47" s="596"/>
      <c r="EW47" s="596"/>
      <c r="EX47" s="596"/>
      <c r="EY47" s="596"/>
      <c r="EZ47" s="596"/>
      <c r="FA47" s="596"/>
      <c r="FB47" s="596"/>
      <c r="FC47" s="596"/>
      <c r="FD47" s="596"/>
      <c r="FE47" s="596"/>
      <c r="FF47" s="596"/>
      <c r="FG47" s="596"/>
      <c r="FH47" s="596"/>
      <c r="FI47" s="596"/>
      <c r="FJ47" s="596"/>
      <c r="FK47" s="596"/>
      <c r="FL47" s="596"/>
      <c r="FM47" s="596"/>
      <c r="FN47" s="596"/>
      <c r="FO47" s="596"/>
      <c r="FP47" s="596"/>
      <c r="FQ47" s="596"/>
      <c r="FR47" s="596"/>
      <c r="FS47" s="596"/>
      <c r="FT47" s="596"/>
      <c r="FU47" s="596"/>
      <c r="FV47" s="596"/>
      <c r="FW47" s="596"/>
      <c r="FX47" s="596"/>
      <c r="FY47" s="596"/>
      <c r="FZ47" s="596"/>
      <c r="GA47" s="596"/>
      <c r="GB47" s="596"/>
      <c r="GC47" s="596"/>
      <c r="GD47" s="596"/>
      <c r="GE47" s="596"/>
      <c r="GF47" s="596"/>
      <c r="GG47" s="596"/>
      <c r="GH47" s="596"/>
      <c r="GI47" s="596"/>
      <c r="GJ47" s="596"/>
      <c r="GK47" s="596"/>
      <c r="GL47" s="596"/>
      <c r="GM47" s="596"/>
      <c r="GN47" s="596"/>
      <c r="GO47" s="596"/>
      <c r="GP47" s="596"/>
      <c r="GQ47" s="596"/>
      <c r="GR47" s="596"/>
      <c r="GS47" s="596"/>
      <c r="GT47" s="596"/>
      <c r="GU47" s="596"/>
      <c r="GV47" s="596"/>
      <c r="GW47" s="596"/>
      <c r="GX47" s="596"/>
      <c r="GY47" s="596"/>
      <c r="GZ47" s="596"/>
      <c r="HA47" s="596"/>
      <c r="HB47" s="596"/>
      <c r="HC47" s="596"/>
      <c r="HD47" s="596"/>
      <c r="HE47" s="596"/>
      <c r="HF47" s="596"/>
      <c r="HG47" s="596"/>
      <c r="HH47" s="596"/>
      <c r="HI47" s="596"/>
      <c r="HJ47" s="596"/>
      <c r="HK47" s="596"/>
      <c r="HL47" s="596"/>
      <c r="HM47" s="596"/>
      <c r="HN47" s="596"/>
      <c r="HO47" s="596"/>
      <c r="HP47" s="596"/>
      <c r="HQ47" s="596"/>
      <c r="HR47" s="596"/>
      <c r="HS47" s="596"/>
      <c r="HT47" s="596"/>
      <c r="HU47" s="596"/>
      <c r="HV47" s="596"/>
      <c r="HW47" s="596"/>
      <c r="HX47" s="596"/>
      <c r="HY47" s="596"/>
      <c r="HZ47" s="596"/>
      <c r="IA47" s="596"/>
      <c r="IB47" s="596"/>
      <c r="IC47" s="596"/>
      <c r="ID47" s="596"/>
      <c r="IE47" s="596"/>
      <c r="IF47" s="596"/>
      <c r="IG47" s="596"/>
      <c r="IH47" s="596"/>
      <c r="II47" s="596"/>
      <c r="IJ47" s="596"/>
      <c r="IK47" s="596"/>
      <c r="IL47" s="596"/>
      <c r="IM47" s="596"/>
      <c r="IN47" s="596"/>
      <c r="IO47" s="596"/>
      <c r="IP47" s="596"/>
      <c r="IQ47" s="596"/>
      <c r="IR47" s="596"/>
      <c r="IS47" s="596"/>
      <c r="IT47" s="596"/>
      <c r="IU47" s="596"/>
      <c r="IV47" s="596"/>
    </row>
    <row r="48" spans="1:256">
      <c r="A48" s="600">
        <f t="shared" si="9"/>
        <v>28</v>
      </c>
      <c r="B48" s="597" t="s">
        <v>321</v>
      </c>
      <c r="C48" s="609">
        <f t="shared" si="10"/>
        <v>0</v>
      </c>
      <c r="D48" s="609">
        <f t="shared" ref="D48:D56" si="11">D47+C48</f>
        <v>0</v>
      </c>
      <c r="E48" s="597">
        <v>30</v>
      </c>
      <c r="F48" s="443">
        <v>246</v>
      </c>
      <c r="G48" s="610">
        <f t="shared" si="6"/>
        <v>0.67397260273972603</v>
      </c>
      <c r="H48" s="609">
        <f t="shared" si="7"/>
        <v>0</v>
      </c>
      <c r="I48" s="609">
        <f t="shared" si="8"/>
        <v>0</v>
      </c>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6"/>
      <c r="BW48" s="596"/>
      <c r="BX48" s="596"/>
      <c r="BY48" s="596"/>
      <c r="BZ48" s="596"/>
      <c r="CA48" s="596"/>
      <c r="CB48" s="596"/>
      <c r="CC48" s="596"/>
      <c r="CD48" s="596"/>
      <c r="CE48" s="596"/>
      <c r="CF48" s="596"/>
      <c r="CG48" s="596"/>
      <c r="CH48" s="596"/>
      <c r="CI48" s="596"/>
      <c r="CJ48" s="596"/>
      <c r="CK48" s="596"/>
      <c r="CL48" s="596"/>
      <c r="CM48" s="596"/>
      <c r="CN48" s="596"/>
      <c r="CO48" s="596"/>
      <c r="CP48" s="596"/>
      <c r="CQ48" s="596"/>
      <c r="CR48" s="596"/>
      <c r="CS48" s="596"/>
      <c r="CT48" s="596"/>
      <c r="CU48" s="596"/>
      <c r="CV48" s="596"/>
      <c r="CW48" s="596"/>
      <c r="CX48" s="596"/>
      <c r="CY48" s="596"/>
      <c r="CZ48" s="596"/>
      <c r="DA48" s="596"/>
      <c r="DB48" s="596"/>
      <c r="DC48" s="596"/>
      <c r="DD48" s="596"/>
      <c r="DE48" s="596"/>
      <c r="DF48" s="596"/>
      <c r="DG48" s="596"/>
      <c r="DH48" s="596"/>
      <c r="DI48" s="596"/>
      <c r="DJ48" s="596"/>
      <c r="DK48" s="596"/>
      <c r="DL48" s="596"/>
      <c r="DM48" s="596"/>
      <c r="DN48" s="596"/>
      <c r="DO48" s="596"/>
      <c r="DP48" s="596"/>
      <c r="DQ48" s="596"/>
      <c r="DR48" s="596"/>
      <c r="DS48" s="596"/>
      <c r="DT48" s="596"/>
      <c r="DU48" s="596"/>
      <c r="DV48" s="596"/>
      <c r="DW48" s="596"/>
      <c r="DX48" s="596"/>
      <c r="DY48" s="596"/>
      <c r="DZ48" s="596"/>
      <c r="EA48" s="596"/>
      <c r="EB48" s="596"/>
      <c r="EC48" s="596"/>
      <c r="ED48" s="596"/>
      <c r="EE48" s="596"/>
      <c r="EF48" s="596"/>
      <c r="EG48" s="596"/>
      <c r="EH48" s="596"/>
      <c r="EI48" s="596"/>
      <c r="EJ48" s="596"/>
      <c r="EK48" s="596"/>
      <c r="EL48" s="596"/>
      <c r="EM48" s="596"/>
      <c r="EN48" s="596"/>
      <c r="EO48" s="596"/>
      <c r="EP48" s="596"/>
      <c r="EQ48" s="596"/>
      <c r="ER48" s="596"/>
      <c r="ES48" s="596"/>
      <c r="ET48" s="596"/>
      <c r="EU48" s="596"/>
      <c r="EV48" s="596"/>
      <c r="EW48" s="596"/>
      <c r="EX48" s="596"/>
      <c r="EY48" s="596"/>
      <c r="EZ48" s="596"/>
      <c r="FA48" s="596"/>
      <c r="FB48" s="596"/>
      <c r="FC48" s="596"/>
      <c r="FD48" s="596"/>
      <c r="FE48" s="596"/>
      <c r="FF48" s="596"/>
      <c r="FG48" s="596"/>
      <c r="FH48" s="596"/>
      <c r="FI48" s="596"/>
      <c r="FJ48" s="596"/>
      <c r="FK48" s="596"/>
      <c r="FL48" s="596"/>
      <c r="FM48" s="596"/>
      <c r="FN48" s="596"/>
      <c r="FO48" s="596"/>
      <c r="FP48" s="596"/>
      <c r="FQ48" s="596"/>
      <c r="FR48" s="596"/>
      <c r="FS48" s="596"/>
      <c r="FT48" s="596"/>
      <c r="FU48" s="596"/>
      <c r="FV48" s="596"/>
      <c r="FW48" s="596"/>
      <c r="FX48" s="596"/>
      <c r="FY48" s="596"/>
      <c r="FZ48" s="596"/>
      <c r="GA48" s="596"/>
      <c r="GB48" s="596"/>
      <c r="GC48" s="596"/>
      <c r="GD48" s="596"/>
      <c r="GE48" s="596"/>
      <c r="GF48" s="596"/>
      <c r="GG48" s="596"/>
      <c r="GH48" s="596"/>
      <c r="GI48" s="596"/>
      <c r="GJ48" s="596"/>
      <c r="GK48" s="596"/>
      <c r="GL48" s="596"/>
      <c r="GM48" s="596"/>
      <c r="GN48" s="596"/>
      <c r="GO48" s="596"/>
      <c r="GP48" s="596"/>
      <c r="GQ48" s="596"/>
      <c r="GR48" s="596"/>
      <c r="GS48" s="596"/>
      <c r="GT48" s="596"/>
      <c r="GU48" s="596"/>
      <c r="GV48" s="596"/>
      <c r="GW48" s="596"/>
      <c r="GX48" s="596"/>
      <c r="GY48" s="596"/>
      <c r="GZ48" s="596"/>
      <c r="HA48" s="596"/>
      <c r="HB48" s="596"/>
      <c r="HC48" s="596"/>
      <c r="HD48" s="596"/>
      <c r="HE48" s="596"/>
      <c r="HF48" s="596"/>
      <c r="HG48" s="596"/>
      <c r="HH48" s="596"/>
      <c r="HI48" s="596"/>
      <c r="HJ48" s="596"/>
      <c r="HK48" s="596"/>
      <c r="HL48" s="596"/>
      <c r="HM48" s="596"/>
      <c r="HN48" s="596"/>
      <c r="HO48" s="596"/>
      <c r="HP48" s="596"/>
      <c r="HQ48" s="596"/>
      <c r="HR48" s="596"/>
      <c r="HS48" s="596"/>
      <c r="HT48" s="596"/>
      <c r="HU48" s="596"/>
      <c r="HV48" s="596"/>
      <c r="HW48" s="596"/>
      <c r="HX48" s="596"/>
      <c r="HY48" s="596"/>
      <c r="HZ48" s="596"/>
      <c r="IA48" s="596"/>
      <c r="IB48" s="596"/>
      <c r="IC48" s="596"/>
      <c r="ID48" s="596"/>
      <c r="IE48" s="596"/>
      <c r="IF48" s="596"/>
      <c r="IG48" s="596"/>
      <c r="IH48" s="596"/>
      <c r="II48" s="596"/>
      <c r="IJ48" s="596"/>
      <c r="IK48" s="596"/>
      <c r="IL48" s="596"/>
      <c r="IM48" s="596"/>
      <c r="IN48" s="596"/>
      <c r="IO48" s="596"/>
      <c r="IP48" s="596"/>
      <c r="IQ48" s="596"/>
      <c r="IR48" s="596"/>
      <c r="IS48" s="596"/>
      <c r="IT48" s="596"/>
      <c r="IU48" s="596"/>
      <c r="IV48" s="596"/>
    </row>
    <row r="49" spans="1:256">
      <c r="A49" s="600">
        <f t="shared" si="9"/>
        <v>29</v>
      </c>
      <c r="B49" s="597" t="s">
        <v>322</v>
      </c>
      <c r="C49" s="609">
        <f t="shared" si="10"/>
        <v>0</v>
      </c>
      <c r="D49" s="609">
        <f t="shared" si="11"/>
        <v>0</v>
      </c>
      <c r="E49" s="597">
        <v>31</v>
      </c>
      <c r="F49" s="443">
        <v>215</v>
      </c>
      <c r="G49" s="610">
        <f t="shared" si="6"/>
        <v>0.58904109589041098</v>
      </c>
      <c r="H49" s="609">
        <f t="shared" si="7"/>
        <v>0</v>
      </c>
      <c r="I49" s="609">
        <f t="shared" si="8"/>
        <v>0</v>
      </c>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596"/>
      <c r="CA49" s="596"/>
      <c r="CB49" s="596"/>
      <c r="CC49" s="596"/>
      <c r="CD49" s="596"/>
      <c r="CE49" s="596"/>
      <c r="CF49" s="596"/>
      <c r="CG49" s="596"/>
      <c r="CH49" s="596"/>
      <c r="CI49" s="596"/>
      <c r="CJ49" s="596"/>
      <c r="CK49" s="596"/>
      <c r="CL49" s="596"/>
      <c r="CM49" s="596"/>
      <c r="CN49" s="596"/>
      <c r="CO49" s="596"/>
      <c r="CP49" s="596"/>
      <c r="CQ49" s="596"/>
      <c r="CR49" s="596"/>
      <c r="CS49" s="596"/>
      <c r="CT49" s="596"/>
      <c r="CU49" s="596"/>
      <c r="CV49" s="596"/>
      <c r="CW49" s="596"/>
      <c r="CX49" s="596"/>
      <c r="CY49" s="596"/>
      <c r="CZ49" s="596"/>
      <c r="DA49" s="596"/>
      <c r="DB49" s="596"/>
      <c r="DC49" s="596"/>
      <c r="DD49" s="596"/>
      <c r="DE49" s="596"/>
      <c r="DF49" s="596"/>
      <c r="DG49" s="596"/>
      <c r="DH49" s="596"/>
      <c r="DI49" s="596"/>
      <c r="DJ49" s="596"/>
      <c r="DK49" s="596"/>
      <c r="DL49" s="596"/>
      <c r="DM49" s="596"/>
      <c r="DN49" s="596"/>
      <c r="DO49" s="596"/>
      <c r="DP49" s="596"/>
      <c r="DQ49" s="596"/>
      <c r="DR49" s="596"/>
      <c r="DS49" s="596"/>
      <c r="DT49" s="596"/>
      <c r="DU49" s="596"/>
      <c r="DV49" s="596"/>
      <c r="DW49" s="596"/>
      <c r="DX49" s="596"/>
      <c r="DY49" s="596"/>
      <c r="DZ49" s="596"/>
      <c r="EA49" s="596"/>
      <c r="EB49" s="596"/>
      <c r="EC49" s="596"/>
      <c r="ED49" s="596"/>
      <c r="EE49" s="596"/>
      <c r="EF49" s="596"/>
      <c r="EG49" s="596"/>
      <c r="EH49" s="596"/>
      <c r="EI49" s="596"/>
      <c r="EJ49" s="596"/>
      <c r="EK49" s="596"/>
      <c r="EL49" s="596"/>
      <c r="EM49" s="596"/>
      <c r="EN49" s="596"/>
      <c r="EO49" s="596"/>
      <c r="EP49" s="596"/>
      <c r="EQ49" s="596"/>
      <c r="ER49" s="596"/>
      <c r="ES49" s="596"/>
      <c r="ET49" s="596"/>
      <c r="EU49" s="596"/>
      <c r="EV49" s="596"/>
      <c r="EW49" s="596"/>
      <c r="EX49" s="596"/>
      <c r="EY49" s="596"/>
      <c r="EZ49" s="596"/>
      <c r="FA49" s="596"/>
      <c r="FB49" s="596"/>
      <c r="FC49" s="596"/>
      <c r="FD49" s="596"/>
      <c r="FE49" s="596"/>
      <c r="FF49" s="596"/>
      <c r="FG49" s="596"/>
      <c r="FH49" s="596"/>
      <c r="FI49" s="596"/>
      <c r="FJ49" s="596"/>
      <c r="FK49" s="596"/>
      <c r="FL49" s="596"/>
      <c r="FM49" s="596"/>
      <c r="FN49" s="596"/>
      <c r="FO49" s="596"/>
      <c r="FP49" s="596"/>
      <c r="FQ49" s="596"/>
      <c r="FR49" s="596"/>
      <c r="FS49" s="596"/>
      <c r="FT49" s="596"/>
      <c r="FU49" s="596"/>
      <c r="FV49" s="596"/>
      <c r="FW49" s="596"/>
      <c r="FX49" s="596"/>
      <c r="FY49" s="596"/>
      <c r="FZ49" s="596"/>
      <c r="GA49" s="596"/>
      <c r="GB49" s="596"/>
      <c r="GC49" s="596"/>
      <c r="GD49" s="596"/>
      <c r="GE49" s="596"/>
      <c r="GF49" s="596"/>
      <c r="GG49" s="596"/>
      <c r="GH49" s="596"/>
      <c r="GI49" s="596"/>
      <c r="GJ49" s="596"/>
      <c r="GK49" s="596"/>
      <c r="GL49" s="596"/>
      <c r="GM49" s="596"/>
      <c r="GN49" s="596"/>
      <c r="GO49" s="596"/>
      <c r="GP49" s="596"/>
      <c r="GQ49" s="596"/>
      <c r="GR49" s="596"/>
      <c r="GS49" s="596"/>
      <c r="GT49" s="596"/>
      <c r="GU49" s="596"/>
      <c r="GV49" s="596"/>
      <c r="GW49" s="596"/>
      <c r="GX49" s="596"/>
      <c r="GY49" s="596"/>
      <c r="GZ49" s="596"/>
      <c r="HA49" s="596"/>
      <c r="HB49" s="596"/>
      <c r="HC49" s="596"/>
      <c r="HD49" s="596"/>
      <c r="HE49" s="596"/>
      <c r="HF49" s="596"/>
      <c r="HG49" s="596"/>
      <c r="HH49" s="596"/>
      <c r="HI49" s="596"/>
      <c r="HJ49" s="596"/>
      <c r="HK49" s="596"/>
      <c r="HL49" s="596"/>
      <c r="HM49" s="596"/>
      <c r="HN49" s="596"/>
      <c r="HO49" s="596"/>
      <c r="HP49" s="596"/>
      <c r="HQ49" s="596"/>
      <c r="HR49" s="596"/>
      <c r="HS49" s="596"/>
      <c r="HT49" s="596"/>
      <c r="HU49" s="596"/>
      <c r="HV49" s="596"/>
      <c r="HW49" s="596"/>
      <c r="HX49" s="596"/>
      <c r="HY49" s="596"/>
      <c r="HZ49" s="596"/>
      <c r="IA49" s="596"/>
      <c r="IB49" s="596"/>
      <c r="IC49" s="596"/>
      <c r="ID49" s="596"/>
      <c r="IE49" s="596"/>
      <c r="IF49" s="596"/>
      <c r="IG49" s="596"/>
      <c r="IH49" s="596"/>
      <c r="II49" s="596"/>
      <c r="IJ49" s="596"/>
      <c r="IK49" s="596"/>
      <c r="IL49" s="596"/>
      <c r="IM49" s="596"/>
      <c r="IN49" s="596"/>
      <c r="IO49" s="596"/>
      <c r="IP49" s="596"/>
      <c r="IQ49" s="596"/>
      <c r="IR49" s="596"/>
      <c r="IS49" s="596"/>
      <c r="IT49" s="596"/>
      <c r="IU49" s="596"/>
      <c r="IV49" s="596"/>
    </row>
    <row r="50" spans="1:256">
      <c r="A50" s="600">
        <f t="shared" si="9"/>
        <v>30</v>
      </c>
      <c r="B50" s="597" t="s">
        <v>48</v>
      </c>
      <c r="C50" s="609">
        <f t="shared" si="10"/>
        <v>0</v>
      </c>
      <c r="D50" s="609">
        <f t="shared" si="11"/>
        <v>0</v>
      </c>
      <c r="E50" s="597">
        <v>30</v>
      </c>
      <c r="F50" s="443">
        <v>185</v>
      </c>
      <c r="G50" s="610">
        <f t="shared" si="6"/>
        <v>0.50684931506849318</v>
      </c>
      <c r="H50" s="609">
        <f t="shared" si="7"/>
        <v>0</v>
      </c>
      <c r="I50" s="609">
        <f t="shared" si="8"/>
        <v>0</v>
      </c>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596"/>
      <c r="CA50" s="596"/>
      <c r="CB50" s="596"/>
      <c r="CC50" s="596"/>
      <c r="CD50" s="596"/>
      <c r="CE50" s="596"/>
      <c r="CF50" s="596"/>
      <c r="CG50" s="596"/>
      <c r="CH50" s="596"/>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c r="DJ50" s="596"/>
      <c r="DK50" s="596"/>
      <c r="DL50" s="596"/>
      <c r="DM50" s="596"/>
      <c r="DN50" s="596"/>
      <c r="DO50" s="596"/>
      <c r="DP50" s="596"/>
      <c r="DQ50" s="596"/>
      <c r="DR50" s="596"/>
      <c r="DS50" s="596"/>
      <c r="DT50" s="596"/>
      <c r="DU50" s="596"/>
      <c r="DV50" s="596"/>
      <c r="DW50" s="596"/>
      <c r="DX50" s="596"/>
      <c r="DY50" s="596"/>
      <c r="DZ50" s="596"/>
      <c r="EA50" s="596"/>
      <c r="EB50" s="596"/>
      <c r="EC50" s="596"/>
      <c r="ED50" s="596"/>
      <c r="EE50" s="596"/>
      <c r="EF50" s="596"/>
      <c r="EG50" s="596"/>
      <c r="EH50" s="596"/>
      <c r="EI50" s="596"/>
      <c r="EJ50" s="596"/>
      <c r="EK50" s="596"/>
      <c r="EL50" s="596"/>
      <c r="EM50" s="596"/>
      <c r="EN50" s="596"/>
      <c r="EO50" s="596"/>
      <c r="EP50" s="596"/>
      <c r="EQ50" s="596"/>
      <c r="ER50" s="596"/>
      <c r="ES50" s="596"/>
      <c r="ET50" s="596"/>
      <c r="EU50" s="596"/>
      <c r="EV50" s="596"/>
      <c r="EW50" s="596"/>
      <c r="EX50" s="596"/>
      <c r="EY50" s="596"/>
      <c r="EZ50" s="596"/>
      <c r="FA50" s="596"/>
      <c r="FB50" s="596"/>
      <c r="FC50" s="596"/>
      <c r="FD50" s="596"/>
      <c r="FE50" s="596"/>
      <c r="FF50" s="596"/>
      <c r="FG50" s="596"/>
      <c r="FH50" s="596"/>
      <c r="FI50" s="596"/>
      <c r="FJ50" s="596"/>
      <c r="FK50" s="596"/>
      <c r="FL50" s="596"/>
      <c r="FM50" s="596"/>
      <c r="FN50" s="596"/>
      <c r="FO50" s="596"/>
      <c r="FP50" s="596"/>
      <c r="FQ50" s="596"/>
      <c r="FR50" s="596"/>
      <c r="FS50" s="596"/>
      <c r="FT50" s="596"/>
      <c r="FU50" s="596"/>
      <c r="FV50" s="596"/>
      <c r="FW50" s="596"/>
      <c r="FX50" s="596"/>
      <c r="FY50" s="596"/>
      <c r="FZ50" s="596"/>
      <c r="GA50" s="596"/>
      <c r="GB50" s="596"/>
      <c r="GC50" s="596"/>
      <c r="GD50" s="596"/>
      <c r="GE50" s="596"/>
      <c r="GF50" s="596"/>
      <c r="GG50" s="596"/>
      <c r="GH50" s="596"/>
      <c r="GI50" s="596"/>
      <c r="GJ50" s="596"/>
      <c r="GK50" s="596"/>
      <c r="GL50" s="596"/>
      <c r="GM50" s="596"/>
      <c r="GN50" s="596"/>
      <c r="GO50" s="596"/>
      <c r="GP50" s="596"/>
      <c r="GQ50" s="596"/>
      <c r="GR50" s="596"/>
      <c r="GS50" s="596"/>
      <c r="GT50" s="596"/>
      <c r="GU50" s="596"/>
      <c r="GV50" s="596"/>
      <c r="GW50" s="596"/>
      <c r="GX50" s="596"/>
      <c r="GY50" s="596"/>
      <c r="GZ50" s="596"/>
      <c r="HA50" s="596"/>
      <c r="HB50" s="596"/>
      <c r="HC50" s="596"/>
      <c r="HD50" s="596"/>
      <c r="HE50" s="596"/>
      <c r="HF50" s="596"/>
      <c r="HG50" s="596"/>
      <c r="HH50" s="596"/>
      <c r="HI50" s="596"/>
      <c r="HJ50" s="596"/>
      <c r="HK50" s="596"/>
      <c r="HL50" s="596"/>
      <c r="HM50" s="596"/>
      <c r="HN50" s="596"/>
      <c r="HO50" s="596"/>
      <c r="HP50" s="596"/>
      <c r="HQ50" s="596"/>
      <c r="HR50" s="596"/>
      <c r="HS50" s="596"/>
      <c r="HT50" s="596"/>
      <c r="HU50" s="596"/>
      <c r="HV50" s="596"/>
      <c r="HW50" s="596"/>
      <c r="HX50" s="596"/>
      <c r="HY50" s="596"/>
      <c r="HZ50" s="596"/>
      <c r="IA50" s="596"/>
      <c r="IB50" s="596"/>
      <c r="IC50" s="596"/>
      <c r="ID50" s="596"/>
      <c r="IE50" s="596"/>
      <c r="IF50" s="596"/>
      <c r="IG50" s="596"/>
      <c r="IH50" s="596"/>
      <c r="II50" s="596"/>
      <c r="IJ50" s="596"/>
      <c r="IK50" s="596"/>
      <c r="IL50" s="596"/>
      <c r="IM50" s="596"/>
      <c r="IN50" s="596"/>
      <c r="IO50" s="596"/>
      <c r="IP50" s="596"/>
      <c r="IQ50" s="596"/>
      <c r="IR50" s="596"/>
      <c r="IS50" s="596"/>
      <c r="IT50" s="596"/>
      <c r="IU50" s="596"/>
      <c r="IV50" s="596"/>
    </row>
    <row r="51" spans="1:256">
      <c r="A51" s="600">
        <f t="shared" si="9"/>
        <v>31</v>
      </c>
      <c r="B51" s="597" t="s">
        <v>323</v>
      </c>
      <c r="C51" s="609">
        <f t="shared" si="10"/>
        <v>0</v>
      </c>
      <c r="D51" s="609">
        <f t="shared" si="11"/>
        <v>0</v>
      </c>
      <c r="E51" s="597">
        <v>31</v>
      </c>
      <c r="F51" s="443">
        <v>154</v>
      </c>
      <c r="G51" s="610">
        <f t="shared" si="6"/>
        <v>0.42191780821917807</v>
      </c>
      <c r="H51" s="609">
        <f t="shared" si="7"/>
        <v>0</v>
      </c>
      <c r="I51" s="609">
        <f t="shared" ref="I51:I56" si="12">I50+H51</f>
        <v>0</v>
      </c>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c r="DC51" s="596"/>
      <c r="DD51" s="596"/>
      <c r="DE51" s="596"/>
      <c r="DF51" s="596"/>
      <c r="DG51" s="596"/>
      <c r="DH51" s="596"/>
      <c r="DI51" s="596"/>
      <c r="DJ51" s="596"/>
      <c r="DK51" s="596"/>
      <c r="DL51" s="596"/>
      <c r="DM51" s="596"/>
      <c r="DN51" s="596"/>
      <c r="DO51" s="596"/>
      <c r="DP51" s="596"/>
      <c r="DQ51" s="596"/>
      <c r="DR51" s="596"/>
      <c r="DS51" s="596"/>
      <c r="DT51" s="596"/>
      <c r="DU51" s="596"/>
      <c r="DV51" s="596"/>
      <c r="DW51" s="596"/>
      <c r="DX51" s="596"/>
      <c r="DY51" s="596"/>
      <c r="DZ51" s="596"/>
      <c r="EA51" s="596"/>
      <c r="EB51" s="596"/>
      <c r="EC51" s="596"/>
      <c r="ED51" s="596"/>
      <c r="EE51" s="596"/>
      <c r="EF51" s="596"/>
      <c r="EG51" s="596"/>
      <c r="EH51" s="596"/>
      <c r="EI51" s="596"/>
      <c r="EJ51" s="596"/>
      <c r="EK51" s="596"/>
      <c r="EL51" s="596"/>
      <c r="EM51" s="596"/>
      <c r="EN51" s="596"/>
      <c r="EO51" s="596"/>
      <c r="EP51" s="596"/>
      <c r="EQ51" s="596"/>
      <c r="ER51" s="596"/>
      <c r="ES51" s="596"/>
      <c r="ET51" s="596"/>
      <c r="EU51" s="596"/>
      <c r="EV51" s="596"/>
      <c r="EW51" s="596"/>
      <c r="EX51" s="596"/>
      <c r="EY51" s="596"/>
      <c r="EZ51" s="596"/>
      <c r="FA51" s="596"/>
      <c r="FB51" s="596"/>
      <c r="FC51" s="596"/>
      <c r="FD51" s="596"/>
      <c r="FE51" s="596"/>
      <c r="FF51" s="596"/>
      <c r="FG51" s="596"/>
      <c r="FH51" s="596"/>
      <c r="FI51" s="596"/>
      <c r="FJ51" s="596"/>
      <c r="FK51" s="596"/>
      <c r="FL51" s="596"/>
      <c r="FM51" s="596"/>
      <c r="FN51" s="596"/>
      <c r="FO51" s="596"/>
      <c r="FP51" s="596"/>
      <c r="FQ51" s="596"/>
      <c r="FR51" s="596"/>
      <c r="FS51" s="596"/>
      <c r="FT51" s="596"/>
      <c r="FU51" s="596"/>
      <c r="FV51" s="596"/>
      <c r="FW51" s="596"/>
      <c r="FX51" s="596"/>
      <c r="FY51" s="596"/>
      <c r="FZ51" s="596"/>
      <c r="GA51" s="596"/>
      <c r="GB51" s="596"/>
      <c r="GC51" s="596"/>
      <c r="GD51" s="596"/>
      <c r="GE51" s="596"/>
      <c r="GF51" s="596"/>
      <c r="GG51" s="596"/>
      <c r="GH51" s="596"/>
      <c r="GI51" s="596"/>
      <c r="GJ51" s="596"/>
      <c r="GK51" s="596"/>
      <c r="GL51" s="596"/>
      <c r="GM51" s="596"/>
      <c r="GN51" s="596"/>
      <c r="GO51" s="596"/>
      <c r="GP51" s="596"/>
      <c r="GQ51" s="596"/>
      <c r="GR51" s="596"/>
      <c r="GS51" s="596"/>
      <c r="GT51" s="596"/>
      <c r="GU51" s="596"/>
      <c r="GV51" s="596"/>
      <c r="GW51" s="596"/>
      <c r="GX51" s="596"/>
      <c r="GY51" s="596"/>
      <c r="GZ51" s="596"/>
      <c r="HA51" s="596"/>
      <c r="HB51" s="596"/>
      <c r="HC51" s="596"/>
      <c r="HD51" s="596"/>
      <c r="HE51" s="596"/>
      <c r="HF51" s="596"/>
      <c r="HG51" s="596"/>
      <c r="HH51" s="596"/>
      <c r="HI51" s="596"/>
      <c r="HJ51" s="596"/>
      <c r="HK51" s="596"/>
      <c r="HL51" s="596"/>
      <c r="HM51" s="596"/>
      <c r="HN51" s="596"/>
      <c r="HO51" s="596"/>
      <c r="HP51" s="596"/>
      <c r="HQ51" s="596"/>
      <c r="HR51" s="596"/>
      <c r="HS51" s="596"/>
      <c r="HT51" s="596"/>
      <c r="HU51" s="596"/>
      <c r="HV51" s="596"/>
      <c r="HW51" s="596"/>
      <c r="HX51" s="596"/>
      <c r="HY51" s="596"/>
      <c r="HZ51" s="596"/>
      <c r="IA51" s="596"/>
      <c r="IB51" s="596"/>
      <c r="IC51" s="596"/>
      <c r="ID51" s="596"/>
      <c r="IE51" s="596"/>
      <c r="IF51" s="596"/>
      <c r="IG51" s="596"/>
      <c r="IH51" s="596"/>
      <c r="II51" s="596"/>
      <c r="IJ51" s="596"/>
      <c r="IK51" s="596"/>
      <c r="IL51" s="596"/>
      <c r="IM51" s="596"/>
      <c r="IN51" s="596"/>
      <c r="IO51" s="596"/>
      <c r="IP51" s="596"/>
      <c r="IQ51" s="596"/>
      <c r="IR51" s="596"/>
      <c r="IS51" s="596"/>
      <c r="IT51" s="596"/>
      <c r="IU51" s="596"/>
      <c r="IV51" s="596"/>
    </row>
    <row r="52" spans="1:256">
      <c r="A52" s="600">
        <f t="shared" si="9"/>
        <v>32</v>
      </c>
      <c r="B52" s="597" t="s">
        <v>324</v>
      </c>
      <c r="C52" s="609">
        <f t="shared" si="10"/>
        <v>0</v>
      </c>
      <c r="D52" s="609">
        <f t="shared" si="11"/>
        <v>0</v>
      </c>
      <c r="E52" s="597">
        <v>31</v>
      </c>
      <c r="F52" s="443">
        <v>123</v>
      </c>
      <c r="G52" s="610">
        <f t="shared" si="6"/>
        <v>0.33698630136986302</v>
      </c>
      <c r="H52" s="609">
        <f t="shared" si="7"/>
        <v>0</v>
      </c>
      <c r="I52" s="609">
        <f t="shared" si="12"/>
        <v>0</v>
      </c>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c r="DJ52" s="596"/>
      <c r="DK52" s="596"/>
      <c r="DL52" s="596"/>
      <c r="DM52" s="596"/>
      <c r="DN52" s="596"/>
      <c r="DO52" s="596"/>
      <c r="DP52" s="596"/>
      <c r="DQ52" s="596"/>
      <c r="DR52" s="596"/>
      <c r="DS52" s="596"/>
      <c r="DT52" s="596"/>
      <c r="DU52" s="596"/>
      <c r="DV52" s="596"/>
      <c r="DW52" s="596"/>
      <c r="DX52" s="596"/>
      <c r="DY52" s="596"/>
      <c r="DZ52" s="596"/>
      <c r="EA52" s="596"/>
      <c r="EB52" s="596"/>
      <c r="EC52" s="596"/>
      <c r="ED52" s="596"/>
      <c r="EE52" s="596"/>
      <c r="EF52" s="596"/>
      <c r="EG52" s="596"/>
      <c r="EH52" s="596"/>
      <c r="EI52" s="596"/>
      <c r="EJ52" s="596"/>
      <c r="EK52" s="596"/>
      <c r="EL52" s="596"/>
      <c r="EM52" s="596"/>
      <c r="EN52" s="596"/>
      <c r="EO52" s="596"/>
      <c r="EP52" s="596"/>
      <c r="EQ52" s="596"/>
      <c r="ER52" s="596"/>
      <c r="ES52" s="596"/>
      <c r="ET52" s="596"/>
      <c r="EU52" s="596"/>
      <c r="EV52" s="596"/>
      <c r="EW52" s="596"/>
      <c r="EX52" s="596"/>
      <c r="EY52" s="596"/>
      <c r="EZ52" s="596"/>
      <c r="FA52" s="596"/>
      <c r="FB52" s="596"/>
      <c r="FC52" s="596"/>
      <c r="FD52" s="596"/>
      <c r="FE52" s="596"/>
      <c r="FF52" s="596"/>
      <c r="FG52" s="596"/>
      <c r="FH52" s="596"/>
      <c r="FI52" s="596"/>
      <c r="FJ52" s="596"/>
      <c r="FK52" s="596"/>
      <c r="FL52" s="596"/>
      <c r="FM52" s="596"/>
      <c r="FN52" s="596"/>
      <c r="FO52" s="596"/>
      <c r="FP52" s="596"/>
      <c r="FQ52" s="596"/>
      <c r="FR52" s="596"/>
      <c r="FS52" s="596"/>
      <c r="FT52" s="596"/>
      <c r="FU52" s="596"/>
      <c r="FV52" s="596"/>
      <c r="FW52" s="596"/>
      <c r="FX52" s="596"/>
      <c r="FY52" s="596"/>
      <c r="FZ52" s="596"/>
      <c r="GA52" s="596"/>
      <c r="GB52" s="596"/>
      <c r="GC52" s="596"/>
      <c r="GD52" s="596"/>
      <c r="GE52" s="596"/>
      <c r="GF52" s="596"/>
      <c r="GG52" s="596"/>
      <c r="GH52" s="596"/>
      <c r="GI52" s="596"/>
      <c r="GJ52" s="596"/>
      <c r="GK52" s="596"/>
      <c r="GL52" s="596"/>
      <c r="GM52" s="596"/>
      <c r="GN52" s="596"/>
      <c r="GO52" s="596"/>
      <c r="GP52" s="596"/>
      <c r="GQ52" s="596"/>
      <c r="GR52" s="596"/>
      <c r="GS52" s="596"/>
      <c r="GT52" s="596"/>
      <c r="GU52" s="596"/>
      <c r="GV52" s="596"/>
      <c r="GW52" s="596"/>
      <c r="GX52" s="596"/>
      <c r="GY52" s="596"/>
      <c r="GZ52" s="596"/>
      <c r="HA52" s="596"/>
      <c r="HB52" s="596"/>
      <c r="HC52" s="596"/>
      <c r="HD52" s="596"/>
      <c r="HE52" s="596"/>
      <c r="HF52" s="596"/>
      <c r="HG52" s="596"/>
      <c r="HH52" s="596"/>
      <c r="HI52" s="596"/>
      <c r="HJ52" s="596"/>
      <c r="HK52" s="596"/>
      <c r="HL52" s="596"/>
      <c r="HM52" s="596"/>
      <c r="HN52" s="596"/>
      <c r="HO52" s="596"/>
      <c r="HP52" s="596"/>
      <c r="HQ52" s="596"/>
      <c r="HR52" s="596"/>
      <c r="HS52" s="596"/>
      <c r="HT52" s="596"/>
      <c r="HU52" s="596"/>
      <c r="HV52" s="596"/>
      <c r="HW52" s="596"/>
      <c r="HX52" s="596"/>
      <c r="HY52" s="596"/>
      <c r="HZ52" s="596"/>
      <c r="IA52" s="596"/>
      <c r="IB52" s="596"/>
      <c r="IC52" s="596"/>
      <c r="ID52" s="596"/>
      <c r="IE52" s="596"/>
      <c r="IF52" s="596"/>
      <c r="IG52" s="596"/>
      <c r="IH52" s="596"/>
      <c r="II52" s="596"/>
      <c r="IJ52" s="596"/>
      <c r="IK52" s="596"/>
      <c r="IL52" s="596"/>
      <c r="IM52" s="596"/>
      <c r="IN52" s="596"/>
      <c r="IO52" s="596"/>
      <c r="IP52" s="596"/>
      <c r="IQ52" s="596"/>
      <c r="IR52" s="596"/>
      <c r="IS52" s="596"/>
      <c r="IT52" s="596"/>
      <c r="IU52" s="596"/>
      <c r="IV52" s="596"/>
    </row>
    <row r="53" spans="1:256">
      <c r="A53" s="600">
        <f t="shared" si="9"/>
        <v>33</v>
      </c>
      <c r="B53" s="597" t="s">
        <v>326</v>
      </c>
      <c r="C53" s="609">
        <f t="shared" si="10"/>
        <v>0</v>
      </c>
      <c r="D53" s="609">
        <f t="shared" si="11"/>
        <v>0</v>
      </c>
      <c r="E53" s="597">
        <v>30</v>
      </c>
      <c r="F53" s="443">
        <v>93</v>
      </c>
      <c r="G53" s="610">
        <f t="shared" si="6"/>
        <v>0.25479452054794521</v>
      </c>
      <c r="H53" s="609">
        <f t="shared" si="7"/>
        <v>0</v>
      </c>
      <c r="I53" s="609">
        <f t="shared" si="12"/>
        <v>0</v>
      </c>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596"/>
      <c r="CY53" s="596"/>
      <c r="CZ53" s="596"/>
      <c r="DA53" s="596"/>
      <c r="DB53" s="596"/>
      <c r="DC53" s="596"/>
      <c r="DD53" s="596"/>
      <c r="DE53" s="596"/>
      <c r="DF53" s="596"/>
      <c r="DG53" s="596"/>
      <c r="DH53" s="596"/>
      <c r="DI53" s="596"/>
      <c r="DJ53" s="596"/>
      <c r="DK53" s="596"/>
      <c r="DL53" s="596"/>
      <c r="DM53" s="596"/>
      <c r="DN53" s="596"/>
      <c r="DO53" s="596"/>
      <c r="DP53" s="596"/>
      <c r="DQ53" s="596"/>
      <c r="DR53" s="596"/>
      <c r="DS53" s="596"/>
      <c r="DT53" s="596"/>
      <c r="DU53" s="596"/>
      <c r="DV53" s="596"/>
      <c r="DW53" s="596"/>
      <c r="DX53" s="596"/>
      <c r="DY53" s="596"/>
      <c r="DZ53" s="596"/>
      <c r="EA53" s="596"/>
      <c r="EB53" s="596"/>
      <c r="EC53" s="596"/>
      <c r="ED53" s="596"/>
      <c r="EE53" s="596"/>
      <c r="EF53" s="596"/>
      <c r="EG53" s="596"/>
      <c r="EH53" s="596"/>
      <c r="EI53" s="596"/>
      <c r="EJ53" s="596"/>
      <c r="EK53" s="596"/>
      <c r="EL53" s="596"/>
      <c r="EM53" s="596"/>
      <c r="EN53" s="596"/>
      <c r="EO53" s="596"/>
      <c r="EP53" s="596"/>
      <c r="EQ53" s="596"/>
      <c r="ER53" s="596"/>
      <c r="ES53" s="596"/>
      <c r="ET53" s="596"/>
      <c r="EU53" s="596"/>
      <c r="EV53" s="596"/>
      <c r="EW53" s="596"/>
      <c r="EX53" s="596"/>
      <c r="EY53" s="596"/>
      <c r="EZ53" s="596"/>
      <c r="FA53" s="596"/>
      <c r="FB53" s="596"/>
      <c r="FC53" s="596"/>
      <c r="FD53" s="596"/>
      <c r="FE53" s="596"/>
      <c r="FF53" s="596"/>
      <c r="FG53" s="596"/>
      <c r="FH53" s="596"/>
      <c r="FI53" s="596"/>
      <c r="FJ53" s="596"/>
      <c r="FK53" s="596"/>
      <c r="FL53" s="596"/>
      <c r="FM53" s="596"/>
      <c r="FN53" s="596"/>
      <c r="FO53" s="596"/>
      <c r="FP53" s="596"/>
      <c r="FQ53" s="596"/>
      <c r="FR53" s="596"/>
      <c r="FS53" s="596"/>
      <c r="FT53" s="596"/>
      <c r="FU53" s="596"/>
      <c r="FV53" s="596"/>
      <c r="FW53" s="596"/>
      <c r="FX53" s="596"/>
      <c r="FY53" s="596"/>
      <c r="FZ53" s="596"/>
      <c r="GA53" s="596"/>
      <c r="GB53" s="596"/>
      <c r="GC53" s="596"/>
      <c r="GD53" s="596"/>
      <c r="GE53" s="596"/>
      <c r="GF53" s="596"/>
      <c r="GG53" s="596"/>
      <c r="GH53" s="596"/>
      <c r="GI53" s="596"/>
      <c r="GJ53" s="596"/>
      <c r="GK53" s="596"/>
      <c r="GL53" s="596"/>
      <c r="GM53" s="596"/>
      <c r="GN53" s="596"/>
      <c r="GO53" s="596"/>
      <c r="GP53" s="596"/>
      <c r="GQ53" s="596"/>
      <c r="GR53" s="596"/>
      <c r="GS53" s="596"/>
      <c r="GT53" s="596"/>
      <c r="GU53" s="596"/>
      <c r="GV53" s="596"/>
      <c r="GW53" s="596"/>
      <c r="GX53" s="596"/>
      <c r="GY53" s="596"/>
      <c r="GZ53" s="596"/>
      <c r="HA53" s="596"/>
      <c r="HB53" s="596"/>
      <c r="HC53" s="596"/>
      <c r="HD53" s="596"/>
      <c r="HE53" s="596"/>
      <c r="HF53" s="596"/>
      <c r="HG53" s="596"/>
      <c r="HH53" s="596"/>
      <c r="HI53" s="596"/>
      <c r="HJ53" s="596"/>
      <c r="HK53" s="596"/>
      <c r="HL53" s="596"/>
      <c r="HM53" s="596"/>
      <c r="HN53" s="596"/>
      <c r="HO53" s="596"/>
      <c r="HP53" s="596"/>
      <c r="HQ53" s="596"/>
      <c r="HR53" s="596"/>
      <c r="HS53" s="596"/>
      <c r="HT53" s="596"/>
      <c r="HU53" s="596"/>
      <c r="HV53" s="596"/>
      <c r="HW53" s="596"/>
      <c r="HX53" s="596"/>
      <c r="HY53" s="596"/>
      <c r="HZ53" s="596"/>
      <c r="IA53" s="596"/>
      <c r="IB53" s="596"/>
      <c r="IC53" s="596"/>
      <c r="ID53" s="596"/>
      <c r="IE53" s="596"/>
      <c r="IF53" s="596"/>
      <c r="IG53" s="596"/>
      <c r="IH53" s="596"/>
      <c r="II53" s="596"/>
      <c r="IJ53" s="596"/>
      <c r="IK53" s="596"/>
      <c r="IL53" s="596"/>
      <c r="IM53" s="596"/>
      <c r="IN53" s="596"/>
      <c r="IO53" s="596"/>
      <c r="IP53" s="596"/>
      <c r="IQ53" s="596"/>
      <c r="IR53" s="596"/>
      <c r="IS53" s="596"/>
      <c r="IT53" s="596"/>
      <c r="IU53" s="596"/>
      <c r="IV53" s="596"/>
    </row>
    <row r="54" spans="1:256">
      <c r="A54" s="600">
        <f t="shared" si="9"/>
        <v>34</v>
      </c>
      <c r="B54" s="597" t="s">
        <v>513</v>
      </c>
      <c r="C54" s="609">
        <f t="shared" si="10"/>
        <v>0</v>
      </c>
      <c r="D54" s="609">
        <f t="shared" si="11"/>
        <v>0</v>
      </c>
      <c r="E54" s="597">
        <v>31</v>
      </c>
      <c r="F54" s="443">
        <v>62</v>
      </c>
      <c r="G54" s="610">
        <f t="shared" si="6"/>
        <v>0.16986301369863013</v>
      </c>
      <c r="H54" s="609">
        <f t="shared" si="7"/>
        <v>0</v>
      </c>
      <c r="I54" s="609">
        <f t="shared" si="12"/>
        <v>0</v>
      </c>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c r="DC54" s="596"/>
      <c r="DD54" s="596"/>
      <c r="DE54" s="596"/>
      <c r="DF54" s="596"/>
      <c r="DG54" s="596"/>
      <c r="DH54" s="596"/>
      <c r="DI54" s="596"/>
      <c r="DJ54" s="596"/>
      <c r="DK54" s="596"/>
      <c r="DL54" s="596"/>
      <c r="DM54" s="596"/>
      <c r="DN54" s="596"/>
      <c r="DO54" s="596"/>
      <c r="DP54" s="596"/>
      <c r="DQ54" s="596"/>
      <c r="DR54" s="596"/>
      <c r="DS54" s="596"/>
      <c r="DT54" s="596"/>
      <c r="DU54" s="596"/>
      <c r="DV54" s="596"/>
      <c r="DW54" s="596"/>
      <c r="DX54" s="596"/>
      <c r="DY54" s="596"/>
      <c r="DZ54" s="596"/>
      <c r="EA54" s="596"/>
      <c r="EB54" s="596"/>
      <c r="EC54" s="596"/>
      <c r="ED54" s="596"/>
      <c r="EE54" s="596"/>
      <c r="EF54" s="596"/>
      <c r="EG54" s="596"/>
      <c r="EH54" s="596"/>
      <c r="EI54" s="596"/>
      <c r="EJ54" s="596"/>
      <c r="EK54" s="596"/>
      <c r="EL54" s="596"/>
      <c r="EM54" s="596"/>
      <c r="EN54" s="596"/>
      <c r="EO54" s="596"/>
      <c r="EP54" s="596"/>
      <c r="EQ54" s="596"/>
      <c r="ER54" s="596"/>
      <c r="ES54" s="596"/>
      <c r="ET54" s="596"/>
      <c r="EU54" s="596"/>
      <c r="EV54" s="596"/>
      <c r="EW54" s="596"/>
      <c r="EX54" s="596"/>
      <c r="EY54" s="596"/>
      <c r="EZ54" s="596"/>
      <c r="FA54" s="596"/>
      <c r="FB54" s="596"/>
      <c r="FC54" s="596"/>
      <c r="FD54" s="596"/>
      <c r="FE54" s="596"/>
      <c r="FF54" s="596"/>
      <c r="FG54" s="596"/>
      <c r="FH54" s="596"/>
      <c r="FI54" s="596"/>
      <c r="FJ54" s="596"/>
      <c r="FK54" s="596"/>
      <c r="FL54" s="596"/>
      <c r="FM54" s="596"/>
      <c r="FN54" s="596"/>
      <c r="FO54" s="596"/>
      <c r="FP54" s="596"/>
      <c r="FQ54" s="596"/>
      <c r="FR54" s="596"/>
      <c r="FS54" s="596"/>
      <c r="FT54" s="596"/>
      <c r="FU54" s="596"/>
      <c r="FV54" s="596"/>
      <c r="FW54" s="596"/>
      <c r="FX54" s="596"/>
      <c r="FY54" s="596"/>
      <c r="FZ54" s="596"/>
      <c r="GA54" s="596"/>
      <c r="GB54" s="596"/>
      <c r="GC54" s="596"/>
      <c r="GD54" s="596"/>
      <c r="GE54" s="596"/>
      <c r="GF54" s="596"/>
      <c r="GG54" s="596"/>
      <c r="GH54" s="596"/>
      <c r="GI54" s="596"/>
      <c r="GJ54" s="596"/>
      <c r="GK54" s="596"/>
      <c r="GL54" s="596"/>
      <c r="GM54" s="596"/>
      <c r="GN54" s="596"/>
      <c r="GO54" s="596"/>
      <c r="GP54" s="596"/>
      <c r="GQ54" s="596"/>
      <c r="GR54" s="596"/>
      <c r="GS54" s="596"/>
      <c r="GT54" s="596"/>
      <c r="GU54" s="596"/>
      <c r="GV54" s="596"/>
      <c r="GW54" s="596"/>
      <c r="GX54" s="596"/>
      <c r="GY54" s="596"/>
      <c r="GZ54" s="596"/>
      <c r="HA54" s="596"/>
      <c r="HB54" s="596"/>
      <c r="HC54" s="596"/>
      <c r="HD54" s="596"/>
      <c r="HE54" s="596"/>
      <c r="HF54" s="596"/>
      <c r="HG54" s="596"/>
      <c r="HH54" s="596"/>
      <c r="HI54" s="596"/>
      <c r="HJ54" s="596"/>
      <c r="HK54" s="596"/>
      <c r="HL54" s="596"/>
      <c r="HM54" s="596"/>
      <c r="HN54" s="596"/>
      <c r="HO54" s="596"/>
      <c r="HP54" s="596"/>
      <c r="HQ54" s="596"/>
      <c r="HR54" s="596"/>
      <c r="HS54" s="596"/>
      <c r="HT54" s="596"/>
      <c r="HU54" s="596"/>
      <c r="HV54" s="596"/>
      <c r="HW54" s="596"/>
      <c r="HX54" s="596"/>
      <c r="HY54" s="596"/>
      <c r="HZ54" s="596"/>
      <c r="IA54" s="596"/>
      <c r="IB54" s="596"/>
      <c r="IC54" s="596"/>
      <c r="ID54" s="596"/>
      <c r="IE54" s="596"/>
      <c r="IF54" s="596"/>
      <c r="IG54" s="596"/>
      <c r="IH54" s="596"/>
      <c r="II54" s="596"/>
      <c r="IJ54" s="596"/>
      <c r="IK54" s="596"/>
      <c r="IL54" s="596"/>
      <c r="IM54" s="596"/>
      <c r="IN54" s="596"/>
      <c r="IO54" s="596"/>
      <c r="IP54" s="596"/>
      <c r="IQ54" s="596"/>
      <c r="IR54" s="596"/>
      <c r="IS54" s="596"/>
      <c r="IT54" s="596"/>
      <c r="IU54" s="596"/>
      <c r="IV54" s="596"/>
    </row>
    <row r="55" spans="1:256">
      <c r="A55" s="600">
        <f t="shared" si="9"/>
        <v>35</v>
      </c>
      <c r="B55" s="597" t="s">
        <v>514</v>
      </c>
      <c r="C55" s="609">
        <f t="shared" si="10"/>
        <v>0</v>
      </c>
      <c r="D55" s="609">
        <f t="shared" si="11"/>
        <v>0</v>
      </c>
      <c r="E55" s="597">
        <v>30</v>
      </c>
      <c r="F55" s="443">
        <v>32</v>
      </c>
      <c r="G55" s="610">
        <f t="shared" si="6"/>
        <v>8.7671232876712329E-2</v>
      </c>
      <c r="H55" s="609">
        <f t="shared" si="7"/>
        <v>0</v>
      </c>
      <c r="I55" s="609">
        <f t="shared" si="12"/>
        <v>0</v>
      </c>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6"/>
      <c r="BJ55" s="596"/>
      <c r="BK55" s="596"/>
      <c r="BL55" s="596"/>
      <c r="BM55" s="596"/>
      <c r="BN55" s="596"/>
      <c r="BO55" s="596"/>
      <c r="BP55" s="596"/>
      <c r="BQ55" s="596"/>
      <c r="BR55" s="596"/>
      <c r="BS55" s="596"/>
      <c r="BT55" s="596"/>
      <c r="BU55" s="596"/>
      <c r="BV55" s="596"/>
      <c r="BW55" s="596"/>
      <c r="BX55" s="596"/>
      <c r="BY55" s="596"/>
      <c r="BZ55" s="596"/>
      <c r="CA55" s="596"/>
      <c r="CB55" s="596"/>
      <c r="CC55" s="596"/>
      <c r="CD55" s="596"/>
      <c r="CE55" s="596"/>
      <c r="CF55" s="596"/>
      <c r="CG55" s="596"/>
      <c r="CH55" s="596"/>
      <c r="CI55" s="596"/>
      <c r="CJ55" s="596"/>
      <c r="CK55" s="596"/>
      <c r="CL55" s="596"/>
      <c r="CM55" s="596"/>
      <c r="CN55" s="596"/>
      <c r="CO55" s="596"/>
      <c r="CP55" s="596"/>
      <c r="CQ55" s="596"/>
      <c r="CR55" s="596"/>
      <c r="CS55" s="596"/>
      <c r="CT55" s="596"/>
      <c r="CU55" s="596"/>
      <c r="CV55" s="596"/>
      <c r="CW55" s="596"/>
      <c r="CX55" s="596"/>
      <c r="CY55" s="596"/>
      <c r="CZ55" s="596"/>
      <c r="DA55" s="596"/>
      <c r="DB55" s="596"/>
      <c r="DC55" s="596"/>
      <c r="DD55" s="596"/>
      <c r="DE55" s="596"/>
      <c r="DF55" s="596"/>
      <c r="DG55" s="596"/>
      <c r="DH55" s="596"/>
      <c r="DI55" s="596"/>
      <c r="DJ55" s="596"/>
      <c r="DK55" s="596"/>
      <c r="DL55" s="596"/>
      <c r="DM55" s="596"/>
      <c r="DN55" s="596"/>
      <c r="DO55" s="596"/>
      <c r="DP55" s="596"/>
      <c r="DQ55" s="596"/>
      <c r="DR55" s="596"/>
      <c r="DS55" s="596"/>
      <c r="DT55" s="596"/>
      <c r="DU55" s="596"/>
      <c r="DV55" s="596"/>
      <c r="DW55" s="596"/>
      <c r="DX55" s="596"/>
      <c r="DY55" s="596"/>
      <c r="DZ55" s="596"/>
      <c r="EA55" s="596"/>
      <c r="EB55" s="596"/>
      <c r="EC55" s="596"/>
      <c r="ED55" s="596"/>
      <c r="EE55" s="596"/>
      <c r="EF55" s="596"/>
      <c r="EG55" s="596"/>
      <c r="EH55" s="596"/>
      <c r="EI55" s="596"/>
      <c r="EJ55" s="596"/>
      <c r="EK55" s="596"/>
      <c r="EL55" s="596"/>
      <c r="EM55" s="596"/>
      <c r="EN55" s="596"/>
      <c r="EO55" s="596"/>
      <c r="EP55" s="596"/>
      <c r="EQ55" s="596"/>
      <c r="ER55" s="596"/>
      <c r="ES55" s="596"/>
      <c r="ET55" s="596"/>
      <c r="EU55" s="596"/>
      <c r="EV55" s="596"/>
      <c r="EW55" s="596"/>
      <c r="EX55" s="596"/>
      <c r="EY55" s="596"/>
      <c r="EZ55" s="596"/>
      <c r="FA55" s="596"/>
      <c r="FB55" s="596"/>
      <c r="FC55" s="596"/>
      <c r="FD55" s="596"/>
      <c r="FE55" s="596"/>
      <c r="FF55" s="596"/>
      <c r="FG55" s="596"/>
      <c r="FH55" s="596"/>
      <c r="FI55" s="596"/>
      <c r="FJ55" s="596"/>
      <c r="FK55" s="596"/>
      <c r="FL55" s="596"/>
      <c r="FM55" s="596"/>
      <c r="FN55" s="596"/>
      <c r="FO55" s="596"/>
      <c r="FP55" s="596"/>
      <c r="FQ55" s="596"/>
      <c r="FR55" s="596"/>
      <c r="FS55" s="596"/>
      <c r="FT55" s="596"/>
      <c r="FU55" s="596"/>
      <c r="FV55" s="596"/>
      <c r="FW55" s="596"/>
      <c r="FX55" s="596"/>
      <c r="FY55" s="596"/>
      <c r="FZ55" s="596"/>
      <c r="GA55" s="596"/>
      <c r="GB55" s="596"/>
      <c r="GC55" s="596"/>
      <c r="GD55" s="596"/>
      <c r="GE55" s="596"/>
      <c r="GF55" s="596"/>
      <c r="GG55" s="596"/>
      <c r="GH55" s="596"/>
      <c r="GI55" s="596"/>
      <c r="GJ55" s="596"/>
      <c r="GK55" s="596"/>
      <c r="GL55" s="596"/>
      <c r="GM55" s="596"/>
      <c r="GN55" s="596"/>
      <c r="GO55" s="596"/>
      <c r="GP55" s="596"/>
      <c r="GQ55" s="596"/>
      <c r="GR55" s="596"/>
      <c r="GS55" s="596"/>
      <c r="GT55" s="596"/>
      <c r="GU55" s="596"/>
      <c r="GV55" s="596"/>
      <c r="GW55" s="596"/>
      <c r="GX55" s="596"/>
      <c r="GY55" s="596"/>
      <c r="GZ55" s="596"/>
      <c r="HA55" s="596"/>
      <c r="HB55" s="596"/>
      <c r="HC55" s="596"/>
      <c r="HD55" s="596"/>
      <c r="HE55" s="596"/>
      <c r="HF55" s="596"/>
      <c r="HG55" s="596"/>
      <c r="HH55" s="596"/>
      <c r="HI55" s="596"/>
      <c r="HJ55" s="596"/>
      <c r="HK55" s="596"/>
      <c r="HL55" s="596"/>
      <c r="HM55" s="596"/>
      <c r="HN55" s="596"/>
      <c r="HO55" s="596"/>
      <c r="HP55" s="596"/>
      <c r="HQ55" s="596"/>
      <c r="HR55" s="596"/>
      <c r="HS55" s="596"/>
      <c r="HT55" s="596"/>
      <c r="HU55" s="596"/>
      <c r="HV55" s="596"/>
      <c r="HW55" s="596"/>
      <c r="HX55" s="596"/>
      <c r="HY55" s="596"/>
      <c r="HZ55" s="596"/>
      <c r="IA55" s="596"/>
      <c r="IB55" s="596"/>
      <c r="IC55" s="596"/>
      <c r="ID55" s="596"/>
      <c r="IE55" s="596"/>
      <c r="IF55" s="596"/>
      <c r="IG55" s="596"/>
      <c r="IH55" s="596"/>
      <c r="II55" s="596"/>
      <c r="IJ55" s="596"/>
      <c r="IK55" s="596"/>
      <c r="IL55" s="596"/>
      <c r="IM55" s="596"/>
      <c r="IN55" s="596"/>
      <c r="IO55" s="596"/>
      <c r="IP55" s="596"/>
      <c r="IQ55" s="596"/>
      <c r="IR55" s="596"/>
      <c r="IS55" s="596"/>
      <c r="IT55" s="596"/>
      <c r="IU55" s="596"/>
      <c r="IV55" s="596"/>
    </row>
    <row r="56" spans="1:256">
      <c r="A56" s="600">
        <f t="shared" si="9"/>
        <v>36</v>
      </c>
      <c r="B56" s="597" t="s">
        <v>325</v>
      </c>
      <c r="C56" s="609">
        <f t="shared" si="10"/>
        <v>0</v>
      </c>
      <c r="D56" s="609">
        <f t="shared" si="11"/>
        <v>0</v>
      </c>
      <c r="E56" s="597">
        <v>31</v>
      </c>
      <c r="F56" s="443">
        <f>F55-E56</f>
        <v>1</v>
      </c>
      <c r="G56" s="610">
        <f t="shared" si="6"/>
        <v>2.7397260273972603E-3</v>
      </c>
      <c r="H56" s="609">
        <f t="shared" si="7"/>
        <v>0</v>
      </c>
      <c r="I56" s="609">
        <f t="shared" si="12"/>
        <v>0</v>
      </c>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596"/>
      <c r="AY56" s="596"/>
      <c r="AZ56" s="596"/>
      <c r="BA56" s="596"/>
      <c r="BB56" s="596"/>
      <c r="BC56" s="596"/>
      <c r="BD56" s="596"/>
      <c r="BE56" s="596"/>
      <c r="BF56" s="596"/>
      <c r="BG56" s="596"/>
      <c r="BH56" s="596"/>
      <c r="BI56" s="596"/>
      <c r="BJ56" s="596"/>
      <c r="BK56" s="596"/>
      <c r="BL56" s="596"/>
      <c r="BM56" s="596"/>
      <c r="BN56" s="596"/>
      <c r="BO56" s="596"/>
      <c r="BP56" s="596"/>
      <c r="BQ56" s="596"/>
      <c r="BR56" s="596"/>
      <c r="BS56" s="596"/>
      <c r="BT56" s="596"/>
      <c r="BU56" s="596"/>
      <c r="BV56" s="596"/>
      <c r="BW56" s="596"/>
      <c r="BX56" s="596"/>
      <c r="BY56" s="596"/>
      <c r="BZ56" s="596"/>
      <c r="CA56" s="596"/>
      <c r="CB56" s="596"/>
      <c r="CC56" s="596"/>
      <c r="CD56" s="596"/>
      <c r="CE56" s="596"/>
      <c r="CF56" s="596"/>
      <c r="CG56" s="596"/>
      <c r="CH56" s="596"/>
      <c r="CI56" s="596"/>
      <c r="CJ56" s="596"/>
      <c r="CK56" s="596"/>
      <c r="CL56" s="596"/>
      <c r="CM56" s="596"/>
      <c r="CN56" s="596"/>
      <c r="CO56" s="596"/>
      <c r="CP56" s="596"/>
      <c r="CQ56" s="596"/>
      <c r="CR56" s="596"/>
      <c r="CS56" s="596"/>
      <c r="CT56" s="596"/>
      <c r="CU56" s="596"/>
      <c r="CV56" s="596"/>
      <c r="CW56" s="596"/>
      <c r="CX56" s="596"/>
      <c r="CY56" s="596"/>
      <c r="CZ56" s="596"/>
      <c r="DA56" s="596"/>
      <c r="DB56" s="596"/>
      <c r="DC56" s="596"/>
      <c r="DD56" s="596"/>
      <c r="DE56" s="596"/>
      <c r="DF56" s="596"/>
      <c r="DG56" s="596"/>
      <c r="DH56" s="596"/>
      <c r="DI56" s="596"/>
      <c r="DJ56" s="596"/>
      <c r="DK56" s="596"/>
      <c r="DL56" s="596"/>
      <c r="DM56" s="596"/>
      <c r="DN56" s="596"/>
      <c r="DO56" s="596"/>
      <c r="DP56" s="596"/>
      <c r="DQ56" s="596"/>
      <c r="DR56" s="596"/>
      <c r="DS56" s="596"/>
      <c r="DT56" s="596"/>
      <c r="DU56" s="596"/>
      <c r="DV56" s="596"/>
      <c r="DW56" s="596"/>
      <c r="DX56" s="596"/>
      <c r="DY56" s="596"/>
      <c r="DZ56" s="596"/>
      <c r="EA56" s="596"/>
      <c r="EB56" s="596"/>
      <c r="EC56" s="596"/>
      <c r="ED56" s="596"/>
      <c r="EE56" s="596"/>
      <c r="EF56" s="596"/>
      <c r="EG56" s="596"/>
      <c r="EH56" s="596"/>
      <c r="EI56" s="596"/>
      <c r="EJ56" s="596"/>
      <c r="EK56" s="596"/>
      <c r="EL56" s="596"/>
      <c r="EM56" s="596"/>
      <c r="EN56" s="596"/>
      <c r="EO56" s="596"/>
      <c r="EP56" s="596"/>
      <c r="EQ56" s="596"/>
      <c r="ER56" s="596"/>
      <c r="ES56" s="596"/>
      <c r="ET56" s="596"/>
      <c r="EU56" s="596"/>
      <c r="EV56" s="596"/>
      <c r="EW56" s="596"/>
      <c r="EX56" s="596"/>
      <c r="EY56" s="596"/>
      <c r="EZ56" s="596"/>
      <c r="FA56" s="596"/>
      <c r="FB56" s="596"/>
      <c r="FC56" s="596"/>
      <c r="FD56" s="596"/>
      <c r="FE56" s="596"/>
      <c r="FF56" s="596"/>
      <c r="FG56" s="596"/>
      <c r="FH56" s="596"/>
      <c r="FI56" s="596"/>
      <c r="FJ56" s="596"/>
      <c r="FK56" s="596"/>
      <c r="FL56" s="596"/>
      <c r="FM56" s="596"/>
      <c r="FN56" s="596"/>
      <c r="FO56" s="596"/>
      <c r="FP56" s="596"/>
      <c r="FQ56" s="596"/>
      <c r="FR56" s="596"/>
      <c r="FS56" s="596"/>
      <c r="FT56" s="596"/>
      <c r="FU56" s="596"/>
      <c r="FV56" s="596"/>
      <c r="FW56" s="596"/>
      <c r="FX56" s="596"/>
      <c r="FY56" s="596"/>
      <c r="FZ56" s="596"/>
      <c r="GA56" s="596"/>
      <c r="GB56" s="596"/>
      <c r="GC56" s="596"/>
      <c r="GD56" s="596"/>
      <c r="GE56" s="596"/>
      <c r="GF56" s="596"/>
      <c r="GG56" s="596"/>
      <c r="GH56" s="596"/>
      <c r="GI56" s="596"/>
      <c r="GJ56" s="596"/>
      <c r="GK56" s="596"/>
      <c r="GL56" s="596"/>
      <c r="GM56" s="596"/>
      <c r="GN56" s="596"/>
      <c r="GO56" s="596"/>
      <c r="GP56" s="596"/>
      <c r="GQ56" s="596"/>
      <c r="GR56" s="596"/>
      <c r="GS56" s="596"/>
      <c r="GT56" s="596"/>
      <c r="GU56" s="596"/>
      <c r="GV56" s="596"/>
      <c r="GW56" s="596"/>
      <c r="GX56" s="596"/>
      <c r="GY56" s="596"/>
      <c r="GZ56" s="596"/>
      <c r="HA56" s="596"/>
      <c r="HB56" s="596"/>
      <c r="HC56" s="596"/>
      <c r="HD56" s="596"/>
      <c r="HE56" s="596"/>
      <c r="HF56" s="596"/>
      <c r="HG56" s="596"/>
      <c r="HH56" s="596"/>
      <c r="HI56" s="596"/>
      <c r="HJ56" s="596"/>
      <c r="HK56" s="596"/>
      <c r="HL56" s="596"/>
      <c r="HM56" s="596"/>
      <c r="HN56" s="596"/>
      <c r="HO56" s="596"/>
      <c r="HP56" s="596"/>
      <c r="HQ56" s="596"/>
      <c r="HR56" s="596"/>
      <c r="HS56" s="596"/>
      <c r="HT56" s="596"/>
      <c r="HU56" s="596"/>
      <c r="HV56" s="596"/>
      <c r="HW56" s="596"/>
      <c r="HX56" s="596"/>
      <c r="HY56" s="596"/>
      <c r="HZ56" s="596"/>
      <c r="IA56" s="596"/>
      <c r="IB56" s="596"/>
      <c r="IC56" s="596"/>
      <c r="ID56" s="596"/>
      <c r="IE56" s="596"/>
      <c r="IF56" s="596"/>
      <c r="IG56" s="596"/>
      <c r="IH56" s="596"/>
      <c r="II56" s="596"/>
      <c r="IJ56" s="596"/>
      <c r="IK56" s="596"/>
      <c r="IL56" s="596"/>
      <c r="IM56" s="596"/>
      <c r="IN56" s="596"/>
      <c r="IO56" s="596"/>
      <c r="IP56" s="596"/>
      <c r="IQ56" s="596"/>
      <c r="IR56" s="596"/>
      <c r="IS56" s="596"/>
      <c r="IT56" s="596"/>
      <c r="IU56" s="596"/>
      <c r="IV56" s="596"/>
    </row>
    <row r="57" spans="1:256">
      <c r="A57" s="600"/>
      <c r="B57" s="597"/>
      <c r="C57" s="611"/>
      <c r="D57" s="611"/>
      <c r="E57" s="597"/>
      <c r="F57" s="597"/>
      <c r="G57" s="597"/>
      <c r="H57" s="611"/>
      <c r="I57" s="611"/>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96"/>
      <c r="BC57" s="596"/>
      <c r="BD57" s="596"/>
      <c r="BE57" s="596"/>
      <c r="BF57" s="596"/>
      <c r="BG57" s="596"/>
      <c r="BH57" s="596"/>
      <c r="BI57" s="596"/>
      <c r="BJ57" s="596"/>
      <c r="BK57" s="596"/>
      <c r="BL57" s="596"/>
      <c r="BM57" s="596"/>
      <c r="BN57" s="596"/>
      <c r="BO57" s="596"/>
      <c r="BP57" s="596"/>
      <c r="BQ57" s="596"/>
      <c r="BR57" s="596"/>
      <c r="BS57" s="596"/>
      <c r="BT57" s="596"/>
      <c r="BU57" s="596"/>
      <c r="BV57" s="596"/>
      <c r="BW57" s="596"/>
      <c r="BX57" s="596"/>
      <c r="BY57" s="596"/>
      <c r="BZ57" s="596"/>
      <c r="CA57" s="596"/>
      <c r="CB57" s="596"/>
      <c r="CC57" s="596"/>
      <c r="CD57" s="596"/>
      <c r="CE57" s="596"/>
      <c r="CF57" s="596"/>
      <c r="CG57" s="596"/>
      <c r="CH57" s="596"/>
      <c r="CI57" s="596"/>
      <c r="CJ57" s="596"/>
      <c r="CK57" s="596"/>
      <c r="CL57" s="596"/>
      <c r="CM57" s="596"/>
      <c r="CN57" s="596"/>
      <c r="CO57" s="596"/>
      <c r="CP57" s="596"/>
      <c r="CQ57" s="596"/>
      <c r="CR57" s="596"/>
      <c r="CS57" s="596"/>
      <c r="CT57" s="596"/>
      <c r="CU57" s="596"/>
      <c r="CV57" s="596"/>
      <c r="CW57" s="596"/>
      <c r="CX57" s="596"/>
      <c r="CY57" s="596"/>
      <c r="CZ57" s="596"/>
      <c r="DA57" s="596"/>
      <c r="DB57" s="596"/>
      <c r="DC57" s="596"/>
      <c r="DD57" s="596"/>
      <c r="DE57" s="596"/>
      <c r="DF57" s="596"/>
      <c r="DG57" s="596"/>
      <c r="DH57" s="596"/>
      <c r="DI57" s="596"/>
      <c r="DJ57" s="596"/>
      <c r="DK57" s="596"/>
      <c r="DL57" s="596"/>
      <c r="DM57" s="596"/>
      <c r="DN57" s="596"/>
      <c r="DO57" s="596"/>
      <c r="DP57" s="596"/>
      <c r="DQ57" s="596"/>
      <c r="DR57" s="596"/>
      <c r="DS57" s="596"/>
      <c r="DT57" s="596"/>
      <c r="DU57" s="596"/>
      <c r="DV57" s="596"/>
      <c r="DW57" s="596"/>
      <c r="DX57" s="596"/>
      <c r="DY57" s="596"/>
      <c r="DZ57" s="596"/>
      <c r="EA57" s="596"/>
      <c r="EB57" s="596"/>
      <c r="EC57" s="596"/>
      <c r="ED57" s="596"/>
      <c r="EE57" s="596"/>
      <c r="EF57" s="596"/>
      <c r="EG57" s="596"/>
      <c r="EH57" s="596"/>
      <c r="EI57" s="596"/>
      <c r="EJ57" s="596"/>
      <c r="EK57" s="596"/>
      <c r="EL57" s="596"/>
      <c r="EM57" s="596"/>
      <c r="EN57" s="596"/>
      <c r="EO57" s="596"/>
      <c r="EP57" s="596"/>
      <c r="EQ57" s="596"/>
      <c r="ER57" s="596"/>
      <c r="ES57" s="596"/>
      <c r="ET57" s="596"/>
      <c r="EU57" s="596"/>
      <c r="EV57" s="596"/>
      <c r="EW57" s="596"/>
      <c r="EX57" s="596"/>
      <c r="EY57" s="596"/>
      <c r="EZ57" s="596"/>
      <c r="FA57" s="596"/>
      <c r="FB57" s="596"/>
      <c r="FC57" s="596"/>
      <c r="FD57" s="596"/>
      <c r="FE57" s="596"/>
      <c r="FF57" s="596"/>
      <c r="FG57" s="596"/>
      <c r="FH57" s="596"/>
      <c r="FI57" s="596"/>
      <c r="FJ57" s="596"/>
      <c r="FK57" s="596"/>
      <c r="FL57" s="596"/>
      <c r="FM57" s="596"/>
      <c r="FN57" s="596"/>
      <c r="FO57" s="596"/>
      <c r="FP57" s="596"/>
      <c r="FQ57" s="596"/>
      <c r="FR57" s="596"/>
      <c r="FS57" s="596"/>
      <c r="FT57" s="596"/>
      <c r="FU57" s="596"/>
      <c r="FV57" s="596"/>
      <c r="FW57" s="596"/>
      <c r="FX57" s="596"/>
      <c r="FY57" s="596"/>
      <c r="FZ57" s="596"/>
      <c r="GA57" s="596"/>
      <c r="GB57" s="596"/>
      <c r="GC57" s="596"/>
      <c r="GD57" s="596"/>
      <c r="GE57" s="596"/>
      <c r="GF57" s="596"/>
      <c r="GG57" s="596"/>
      <c r="GH57" s="596"/>
      <c r="GI57" s="596"/>
      <c r="GJ57" s="596"/>
      <c r="GK57" s="596"/>
      <c r="GL57" s="596"/>
      <c r="GM57" s="596"/>
      <c r="GN57" s="596"/>
      <c r="GO57" s="596"/>
      <c r="GP57" s="596"/>
      <c r="GQ57" s="596"/>
      <c r="GR57" s="596"/>
      <c r="GS57" s="596"/>
      <c r="GT57" s="596"/>
      <c r="GU57" s="596"/>
      <c r="GV57" s="596"/>
      <c r="GW57" s="596"/>
      <c r="GX57" s="596"/>
      <c r="GY57" s="596"/>
      <c r="GZ57" s="596"/>
      <c r="HA57" s="596"/>
      <c r="HB57" s="596"/>
      <c r="HC57" s="596"/>
      <c r="HD57" s="596"/>
      <c r="HE57" s="596"/>
      <c r="HF57" s="596"/>
      <c r="HG57" s="596"/>
      <c r="HH57" s="596"/>
      <c r="HI57" s="596"/>
      <c r="HJ57" s="596"/>
      <c r="HK57" s="596"/>
      <c r="HL57" s="596"/>
      <c r="HM57" s="596"/>
      <c r="HN57" s="596"/>
      <c r="HO57" s="596"/>
      <c r="HP57" s="596"/>
      <c r="HQ57" s="596"/>
      <c r="HR57" s="596"/>
      <c r="HS57" s="596"/>
      <c r="HT57" s="596"/>
      <c r="HU57" s="596"/>
      <c r="HV57" s="596"/>
      <c r="HW57" s="596"/>
      <c r="HX57" s="596"/>
      <c r="HY57" s="596"/>
      <c r="HZ57" s="596"/>
      <c r="IA57" s="596"/>
      <c r="IB57" s="596"/>
      <c r="IC57" s="596"/>
      <c r="ID57" s="596"/>
      <c r="IE57" s="596"/>
      <c r="IF57" s="596"/>
      <c r="IG57" s="596"/>
      <c r="IH57" s="596"/>
      <c r="II57" s="596"/>
      <c r="IJ57" s="596"/>
      <c r="IK57" s="596"/>
      <c r="IL57" s="596"/>
      <c r="IM57" s="596"/>
      <c r="IN57" s="596"/>
      <c r="IO57" s="596"/>
      <c r="IP57" s="596"/>
      <c r="IQ57" s="596"/>
      <c r="IR57" s="596"/>
      <c r="IS57" s="596"/>
      <c r="IT57" s="596"/>
      <c r="IU57" s="596"/>
      <c r="IV57" s="596"/>
    </row>
    <row r="58" spans="1:256">
      <c r="A58" s="600">
        <f>+A56+1</f>
        <v>37</v>
      </c>
      <c r="B58" s="597" t="s">
        <v>515</v>
      </c>
      <c r="C58" s="611"/>
      <c r="D58" s="609">
        <f>+D56</f>
        <v>0</v>
      </c>
      <c r="E58" s="597"/>
      <c r="F58" s="597"/>
      <c r="G58" s="597"/>
      <c r="H58" s="611"/>
      <c r="I58" s="609">
        <f>+I56</f>
        <v>0</v>
      </c>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M58" s="596"/>
      <c r="AN58" s="596"/>
      <c r="AO58" s="596"/>
      <c r="AP58" s="596"/>
      <c r="AQ58" s="596"/>
      <c r="AR58" s="596"/>
      <c r="AS58" s="596"/>
      <c r="AT58" s="596"/>
      <c r="AU58" s="596"/>
      <c r="AV58" s="596"/>
      <c r="AW58" s="596"/>
      <c r="AX58" s="596"/>
      <c r="AY58" s="596"/>
      <c r="AZ58" s="596"/>
      <c r="BA58" s="596"/>
      <c r="BB58" s="596"/>
      <c r="BC58" s="596"/>
      <c r="BD58" s="596"/>
      <c r="BE58" s="596"/>
      <c r="BF58" s="596"/>
      <c r="BG58" s="596"/>
      <c r="BH58" s="596"/>
      <c r="BI58" s="596"/>
      <c r="BJ58" s="596"/>
      <c r="BK58" s="596"/>
      <c r="BL58" s="596"/>
      <c r="BM58" s="596"/>
      <c r="BN58" s="596"/>
      <c r="BO58" s="596"/>
      <c r="BP58" s="596"/>
      <c r="BQ58" s="596"/>
      <c r="BR58" s="596"/>
      <c r="BS58" s="596"/>
      <c r="BT58" s="596"/>
      <c r="BU58" s="596"/>
      <c r="BV58" s="596"/>
      <c r="BW58" s="596"/>
      <c r="BX58" s="596"/>
      <c r="BY58" s="596"/>
      <c r="BZ58" s="596"/>
      <c r="CA58" s="596"/>
      <c r="CB58" s="596"/>
      <c r="CC58" s="596"/>
      <c r="CD58" s="596"/>
      <c r="CE58" s="596"/>
      <c r="CF58" s="596"/>
      <c r="CG58" s="596"/>
      <c r="CH58" s="596"/>
      <c r="CI58" s="596"/>
      <c r="CJ58" s="596"/>
      <c r="CK58" s="596"/>
      <c r="CL58" s="596"/>
      <c r="CM58" s="596"/>
      <c r="CN58" s="596"/>
      <c r="CO58" s="596"/>
      <c r="CP58" s="596"/>
      <c r="CQ58" s="596"/>
      <c r="CR58" s="596"/>
      <c r="CS58" s="596"/>
      <c r="CT58" s="596"/>
      <c r="CU58" s="596"/>
      <c r="CV58" s="596"/>
      <c r="CW58" s="596"/>
      <c r="CX58" s="596"/>
      <c r="CY58" s="596"/>
      <c r="CZ58" s="596"/>
      <c r="DA58" s="596"/>
      <c r="DB58" s="596"/>
      <c r="DC58" s="596"/>
      <c r="DD58" s="596"/>
      <c r="DE58" s="596"/>
      <c r="DF58" s="596"/>
      <c r="DG58" s="596"/>
      <c r="DH58" s="596"/>
      <c r="DI58" s="596"/>
      <c r="DJ58" s="596"/>
      <c r="DK58" s="596"/>
      <c r="DL58" s="596"/>
      <c r="DM58" s="596"/>
      <c r="DN58" s="596"/>
      <c r="DO58" s="596"/>
      <c r="DP58" s="596"/>
      <c r="DQ58" s="596"/>
      <c r="DR58" s="596"/>
      <c r="DS58" s="596"/>
      <c r="DT58" s="596"/>
      <c r="DU58" s="596"/>
      <c r="DV58" s="596"/>
      <c r="DW58" s="596"/>
      <c r="DX58" s="596"/>
      <c r="DY58" s="596"/>
      <c r="DZ58" s="596"/>
      <c r="EA58" s="596"/>
      <c r="EB58" s="596"/>
      <c r="EC58" s="596"/>
      <c r="ED58" s="596"/>
      <c r="EE58" s="596"/>
      <c r="EF58" s="596"/>
      <c r="EG58" s="596"/>
      <c r="EH58" s="596"/>
      <c r="EI58" s="596"/>
      <c r="EJ58" s="596"/>
      <c r="EK58" s="596"/>
      <c r="EL58" s="596"/>
      <c r="EM58" s="596"/>
      <c r="EN58" s="596"/>
      <c r="EO58" s="596"/>
      <c r="EP58" s="596"/>
      <c r="EQ58" s="596"/>
      <c r="ER58" s="596"/>
      <c r="ES58" s="596"/>
      <c r="ET58" s="596"/>
      <c r="EU58" s="596"/>
      <c r="EV58" s="596"/>
      <c r="EW58" s="596"/>
      <c r="EX58" s="596"/>
      <c r="EY58" s="596"/>
      <c r="EZ58" s="596"/>
      <c r="FA58" s="596"/>
      <c r="FB58" s="596"/>
      <c r="FC58" s="596"/>
      <c r="FD58" s="596"/>
      <c r="FE58" s="596"/>
      <c r="FF58" s="596"/>
      <c r="FG58" s="596"/>
      <c r="FH58" s="596"/>
      <c r="FI58" s="596"/>
      <c r="FJ58" s="596"/>
      <c r="FK58" s="596"/>
      <c r="FL58" s="596"/>
      <c r="FM58" s="596"/>
      <c r="FN58" s="596"/>
      <c r="FO58" s="596"/>
      <c r="FP58" s="596"/>
      <c r="FQ58" s="596"/>
      <c r="FR58" s="596"/>
      <c r="FS58" s="596"/>
      <c r="FT58" s="596"/>
      <c r="FU58" s="596"/>
      <c r="FV58" s="596"/>
      <c r="FW58" s="596"/>
      <c r="FX58" s="596"/>
      <c r="FY58" s="596"/>
      <c r="FZ58" s="596"/>
      <c r="GA58" s="596"/>
      <c r="GB58" s="596"/>
      <c r="GC58" s="596"/>
      <c r="GD58" s="596"/>
      <c r="GE58" s="596"/>
      <c r="GF58" s="596"/>
      <c r="GG58" s="596"/>
      <c r="GH58" s="596"/>
      <c r="GI58" s="596"/>
      <c r="GJ58" s="596"/>
      <c r="GK58" s="596"/>
      <c r="GL58" s="596"/>
      <c r="GM58" s="596"/>
      <c r="GN58" s="596"/>
      <c r="GO58" s="596"/>
      <c r="GP58" s="596"/>
      <c r="GQ58" s="596"/>
      <c r="GR58" s="596"/>
      <c r="GS58" s="596"/>
      <c r="GT58" s="596"/>
      <c r="GU58" s="596"/>
      <c r="GV58" s="596"/>
      <c r="GW58" s="596"/>
      <c r="GX58" s="596"/>
      <c r="GY58" s="596"/>
      <c r="GZ58" s="596"/>
      <c r="HA58" s="596"/>
      <c r="HB58" s="596"/>
      <c r="HC58" s="596"/>
      <c r="HD58" s="596"/>
      <c r="HE58" s="596"/>
      <c r="HF58" s="596"/>
      <c r="HG58" s="596"/>
      <c r="HH58" s="596"/>
      <c r="HI58" s="596"/>
      <c r="HJ58" s="596"/>
      <c r="HK58" s="596"/>
      <c r="HL58" s="596"/>
      <c r="HM58" s="596"/>
      <c r="HN58" s="596"/>
      <c r="HO58" s="596"/>
      <c r="HP58" s="596"/>
      <c r="HQ58" s="596"/>
      <c r="HR58" s="596"/>
      <c r="HS58" s="596"/>
      <c r="HT58" s="596"/>
      <c r="HU58" s="596"/>
      <c r="HV58" s="596"/>
      <c r="HW58" s="596"/>
      <c r="HX58" s="596"/>
      <c r="HY58" s="596"/>
      <c r="HZ58" s="596"/>
      <c r="IA58" s="596"/>
      <c r="IB58" s="596"/>
      <c r="IC58" s="596"/>
      <c r="ID58" s="596"/>
      <c r="IE58" s="596"/>
      <c r="IF58" s="596"/>
      <c r="IG58" s="596"/>
      <c r="IH58" s="596"/>
      <c r="II58" s="596"/>
      <c r="IJ58" s="596"/>
      <c r="IK58" s="596"/>
      <c r="IL58" s="596"/>
      <c r="IM58" s="596"/>
      <c r="IN58" s="596"/>
      <c r="IO58" s="596"/>
      <c r="IP58" s="596"/>
      <c r="IQ58" s="596"/>
      <c r="IR58" s="596"/>
      <c r="IS58" s="596"/>
      <c r="IT58" s="596"/>
      <c r="IU58" s="596"/>
      <c r="IV58" s="596"/>
    </row>
    <row r="59" spans="1:256">
      <c r="A59" s="600"/>
      <c r="B59" s="612"/>
      <c r="C59" s="612"/>
      <c r="D59" s="612"/>
      <c r="E59" s="612"/>
      <c r="F59" s="612"/>
      <c r="G59" s="612"/>
      <c r="H59" s="612"/>
      <c r="I59" s="612"/>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6"/>
      <c r="AL59" s="596"/>
      <c r="AM59" s="596"/>
      <c r="AN59" s="596"/>
      <c r="AO59" s="596"/>
      <c r="AP59" s="596"/>
      <c r="AQ59" s="596"/>
      <c r="AR59" s="596"/>
      <c r="AS59" s="596"/>
      <c r="AT59" s="596"/>
      <c r="AU59" s="596"/>
      <c r="AV59" s="596"/>
      <c r="AW59" s="596"/>
      <c r="AX59" s="596"/>
      <c r="AY59" s="596"/>
      <c r="AZ59" s="596"/>
      <c r="BA59" s="596"/>
      <c r="BB59" s="596"/>
      <c r="BC59" s="596"/>
      <c r="BD59" s="596"/>
      <c r="BE59" s="596"/>
      <c r="BF59" s="596"/>
      <c r="BG59" s="596"/>
      <c r="BH59" s="596"/>
      <c r="BI59" s="596"/>
      <c r="BJ59" s="596"/>
      <c r="BK59" s="596"/>
      <c r="BL59" s="596"/>
      <c r="BM59" s="596"/>
      <c r="BN59" s="596"/>
      <c r="BO59" s="596"/>
      <c r="BP59" s="596"/>
      <c r="BQ59" s="596"/>
      <c r="BR59" s="596"/>
      <c r="BS59" s="596"/>
      <c r="BT59" s="596"/>
      <c r="BU59" s="596"/>
      <c r="BV59" s="596"/>
      <c r="BW59" s="596"/>
      <c r="BX59" s="596"/>
      <c r="BY59" s="596"/>
      <c r="BZ59" s="596"/>
      <c r="CA59" s="596"/>
      <c r="CB59" s="596"/>
      <c r="CC59" s="596"/>
      <c r="CD59" s="596"/>
      <c r="CE59" s="596"/>
      <c r="CF59" s="596"/>
      <c r="CG59" s="596"/>
      <c r="CH59" s="596"/>
      <c r="CI59" s="596"/>
      <c r="CJ59" s="596"/>
      <c r="CK59" s="596"/>
      <c r="CL59" s="596"/>
      <c r="CM59" s="596"/>
      <c r="CN59" s="596"/>
      <c r="CO59" s="596"/>
      <c r="CP59" s="596"/>
      <c r="CQ59" s="596"/>
      <c r="CR59" s="596"/>
      <c r="CS59" s="596"/>
      <c r="CT59" s="596"/>
      <c r="CU59" s="596"/>
      <c r="CV59" s="596"/>
      <c r="CW59" s="596"/>
      <c r="CX59" s="596"/>
      <c r="CY59" s="596"/>
      <c r="CZ59" s="596"/>
      <c r="DA59" s="596"/>
      <c r="DB59" s="596"/>
      <c r="DC59" s="596"/>
      <c r="DD59" s="596"/>
      <c r="DE59" s="596"/>
      <c r="DF59" s="596"/>
      <c r="DG59" s="596"/>
      <c r="DH59" s="596"/>
      <c r="DI59" s="596"/>
      <c r="DJ59" s="596"/>
      <c r="DK59" s="596"/>
      <c r="DL59" s="596"/>
      <c r="DM59" s="596"/>
      <c r="DN59" s="596"/>
      <c r="DO59" s="596"/>
      <c r="DP59" s="596"/>
      <c r="DQ59" s="596"/>
      <c r="DR59" s="596"/>
      <c r="DS59" s="596"/>
      <c r="DT59" s="596"/>
      <c r="DU59" s="596"/>
      <c r="DV59" s="596"/>
      <c r="DW59" s="596"/>
      <c r="DX59" s="596"/>
      <c r="DY59" s="596"/>
      <c r="DZ59" s="596"/>
      <c r="EA59" s="596"/>
      <c r="EB59" s="596"/>
      <c r="EC59" s="596"/>
      <c r="ED59" s="596"/>
      <c r="EE59" s="596"/>
      <c r="EF59" s="596"/>
      <c r="EG59" s="596"/>
      <c r="EH59" s="596"/>
      <c r="EI59" s="596"/>
      <c r="EJ59" s="596"/>
      <c r="EK59" s="596"/>
      <c r="EL59" s="596"/>
      <c r="EM59" s="596"/>
      <c r="EN59" s="596"/>
      <c r="EO59" s="596"/>
      <c r="EP59" s="596"/>
      <c r="EQ59" s="596"/>
      <c r="ER59" s="596"/>
      <c r="ES59" s="596"/>
      <c r="ET59" s="596"/>
      <c r="EU59" s="596"/>
      <c r="EV59" s="596"/>
      <c r="EW59" s="596"/>
      <c r="EX59" s="596"/>
      <c r="EY59" s="596"/>
      <c r="EZ59" s="596"/>
      <c r="FA59" s="596"/>
      <c r="FB59" s="596"/>
      <c r="FC59" s="596"/>
      <c r="FD59" s="596"/>
      <c r="FE59" s="596"/>
      <c r="FF59" s="596"/>
      <c r="FG59" s="596"/>
      <c r="FH59" s="596"/>
      <c r="FI59" s="596"/>
      <c r="FJ59" s="596"/>
      <c r="FK59" s="596"/>
      <c r="FL59" s="596"/>
      <c r="FM59" s="596"/>
      <c r="FN59" s="596"/>
      <c r="FO59" s="596"/>
      <c r="FP59" s="596"/>
      <c r="FQ59" s="596"/>
      <c r="FR59" s="596"/>
      <c r="FS59" s="596"/>
      <c r="FT59" s="596"/>
      <c r="FU59" s="596"/>
      <c r="FV59" s="596"/>
      <c r="FW59" s="596"/>
      <c r="FX59" s="596"/>
      <c r="FY59" s="596"/>
      <c r="FZ59" s="596"/>
      <c r="GA59" s="596"/>
      <c r="GB59" s="596"/>
      <c r="GC59" s="596"/>
      <c r="GD59" s="596"/>
      <c r="GE59" s="596"/>
      <c r="GF59" s="596"/>
      <c r="GG59" s="596"/>
      <c r="GH59" s="596"/>
      <c r="GI59" s="596"/>
      <c r="GJ59" s="596"/>
      <c r="GK59" s="596"/>
      <c r="GL59" s="596"/>
      <c r="GM59" s="596"/>
      <c r="GN59" s="596"/>
      <c r="GO59" s="596"/>
      <c r="GP59" s="596"/>
      <c r="GQ59" s="596"/>
      <c r="GR59" s="596"/>
      <c r="GS59" s="596"/>
      <c r="GT59" s="596"/>
      <c r="GU59" s="596"/>
      <c r="GV59" s="596"/>
      <c r="GW59" s="596"/>
      <c r="GX59" s="596"/>
      <c r="GY59" s="596"/>
      <c r="GZ59" s="596"/>
      <c r="HA59" s="596"/>
      <c r="HB59" s="596"/>
      <c r="HC59" s="596"/>
      <c r="HD59" s="596"/>
      <c r="HE59" s="596"/>
      <c r="HF59" s="596"/>
      <c r="HG59" s="596"/>
      <c r="HH59" s="596"/>
      <c r="HI59" s="596"/>
      <c r="HJ59" s="596"/>
      <c r="HK59" s="596"/>
      <c r="HL59" s="596"/>
      <c r="HM59" s="596"/>
      <c r="HN59" s="596"/>
      <c r="HO59" s="596"/>
      <c r="HP59" s="596"/>
      <c r="HQ59" s="596"/>
      <c r="HR59" s="596"/>
      <c r="HS59" s="596"/>
      <c r="HT59" s="596"/>
      <c r="HU59" s="596"/>
      <c r="HV59" s="596"/>
      <c r="HW59" s="596"/>
      <c r="HX59" s="596"/>
      <c r="HY59" s="596"/>
      <c r="HZ59" s="596"/>
      <c r="IA59" s="596"/>
      <c r="IB59" s="596"/>
      <c r="IC59" s="596"/>
      <c r="ID59" s="596"/>
      <c r="IE59" s="596"/>
      <c r="IF59" s="596"/>
      <c r="IG59" s="596"/>
      <c r="IH59" s="596"/>
      <c r="II59" s="596"/>
      <c r="IJ59" s="596"/>
      <c r="IK59" s="596"/>
      <c r="IL59" s="596"/>
      <c r="IM59" s="596"/>
      <c r="IN59" s="596"/>
      <c r="IO59" s="596"/>
      <c r="IP59" s="596"/>
      <c r="IQ59" s="596"/>
      <c r="IR59" s="596"/>
      <c r="IS59" s="596"/>
      <c r="IT59" s="596"/>
      <c r="IU59" s="596"/>
      <c r="IV59" s="596"/>
    </row>
    <row r="60" spans="1:256" ht="13.5" thickBot="1">
      <c r="A60" s="600">
        <f>+A58+1</f>
        <v>38</v>
      </c>
      <c r="B60" s="613" t="str">
        <f>"Proration Adjustment - Line "&amp;A58&amp;" Col. "&amp;I42&amp;" less Col. "&amp;D42</f>
        <v>Proration Adjustment - Line 37 Col. (H) less Col. (C )</v>
      </c>
      <c r="C60" s="613"/>
      <c r="D60" s="613"/>
      <c r="E60" s="613"/>
      <c r="F60" s="613"/>
      <c r="G60" s="613"/>
      <c r="H60" s="613"/>
      <c r="I60" s="614">
        <f>+I58-D58</f>
        <v>0</v>
      </c>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596"/>
      <c r="BZ60" s="596"/>
      <c r="CA60" s="596"/>
      <c r="CB60" s="596"/>
      <c r="CC60" s="596"/>
      <c r="CD60" s="596"/>
      <c r="CE60" s="596"/>
      <c r="CF60" s="596"/>
      <c r="CG60" s="596"/>
      <c r="CH60" s="596"/>
      <c r="CI60" s="596"/>
      <c r="CJ60" s="596"/>
      <c r="CK60" s="596"/>
      <c r="CL60" s="596"/>
      <c r="CM60" s="596"/>
      <c r="CN60" s="596"/>
      <c r="CO60" s="596"/>
      <c r="CP60" s="596"/>
      <c r="CQ60" s="596"/>
      <c r="CR60" s="596"/>
      <c r="CS60" s="596"/>
      <c r="CT60" s="596"/>
      <c r="CU60" s="596"/>
      <c r="CV60" s="596"/>
      <c r="CW60" s="596"/>
      <c r="CX60" s="596"/>
      <c r="CY60" s="596"/>
      <c r="CZ60" s="596"/>
      <c r="DA60" s="596"/>
      <c r="DB60" s="596"/>
      <c r="DC60" s="596"/>
      <c r="DD60" s="596"/>
      <c r="DE60" s="596"/>
      <c r="DF60" s="596"/>
      <c r="DG60" s="596"/>
      <c r="DH60" s="596"/>
      <c r="DI60" s="596"/>
      <c r="DJ60" s="596"/>
      <c r="DK60" s="596"/>
      <c r="DL60" s="596"/>
      <c r="DM60" s="596"/>
      <c r="DN60" s="596"/>
      <c r="DO60" s="596"/>
      <c r="DP60" s="596"/>
      <c r="DQ60" s="596"/>
      <c r="DR60" s="596"/>
      <c r="DS60" s="596"/>
      <c r="DT60" s="596"/>
      <c r="DU60" s="596"/>
      <c r="DV60" s="596"/>
      <c r="DW60" s="596"/>
      <c r="DX60" s="596"/>
      <c r="DY60" s="596"/>
      <c r="DZ60" s="596"/>
      <c r="EA60" s="596"/>
      <c r="EB60" s="596"/>
      <c r="EC60" s="596"/>
      <c r="ED60" s="596"/>
      <c r="EE60" s="596"/>
      <c r="EF60" s="596"/>
      <c r="EG60" s="596"/>
      <c r="EH60" s="596"/>
      <c r="EI60" s="596"/>
      <c r="EJ60" s="596"/>
      <c r="EK60" s="596"/>
      <c r="EL60" s="596"/>
      <c r="EM60" s="596"/>
      <c r="EN60" s="596"/>
      <c r="EO60" s="596"/>
      <c r="EP60" s="596"/>
      <c r="EQ60" s="596"/>
      <c r="ER60" s="596"/>
      <c r="ES60" s="596"/>
      <c r="ET60" s="596"/>
      <c r="EU60" s="596"/>
      <c r="EV60" s="596"/>
      <c r="EW60" s="596"/>
      <c r="EX60" s="596"/>
      <c r="EY60" s="596"/>
      <c r="EZ60" s="596"/>
      <c r="FA60" s="596"/>
      <c r="FB60" s="596"/>
      <c r="FC60" s="596"/>
      <c r="FD60" s="596"/>
      <c r="FE60" s="596"/>
      <c r="FF60" s="596"/>
      <c r="FG60" s="596"/>
      <c r="FH60" s="596"/>
      <c r="FI60" s="596"/>
      <c r="FJ60" s="596"/>
      <c r="FK60" s="596"/>
      <c r="FL60" s="596"/>
      <c r="FM60" s="596"/>
      <c r="FN60" s="596"/>
      <c r="FO60" s="596"/>
      <c r="FP60" s="596"/>
      <c r="FQ60" s="596"/>
      <c r="FR60" s="596"/>
      <c r="FS60" s="596"/>
      <c r="FT60" s="596"/>
      <c r="FU60" s="596"/>
      <c r="FV60" s="596"/>
      <c r="FW60" s="596"/>
      <c r="FX60" s="596"/>
      <c r="FY60" s="596"/>
      <c r="FZ60" s="596"/>
      <c r="GA60" s="596"/>
      <c r="GB60" s="596"/>
      <c r="GC60" s="596"/>
      <c r="GD60" s="596"/>
      <c r="GE60" s="596"/>
      <c r="GF60" s="596"/>
      <c r="GG60" s="596"/>
      <c r="GH60" s="596"/>
      <c r="GI60" s="596"/>
      <c r="GJ60" s="596"/>
      <c r="GK60" s="596"/>
      <c r="GL60" s="596"/>
      <c r="GM60" s="596"/>
      <c r="GN60" s="596"/>
      <c r="GO60" s="596"/>
      <c r="GP60" s="596"/>
      <c r="GQ60" s="596"/>
      <c r="GR60" s="596"/>
      <c r="GS60" s="596"/>
      <c r="GT60" s="596"/>
      <c r="GU60" s="596"/>
      <c r="GV60" s="596"/>
      <c r="GW60" s="596"/>
      <c r="GX60" s="596"/>
      <c r="GY60" s="596"/>
      <c r="GZ60" s="596"/>
      <c r="HA60" s="596"/>
      <c r="HB60" s="596"/>
      <c r="HC60" s="596"/>
      <c r="HD60" s="596"/>
      <c r="HE60" s="596"/>
      <c r="HF60" s="596"/>
      <c r="HG60" s="596"/>
      <c r="HH60" s="596"/>
      <c r="HI60" s="596"/>
      <c r="HJ60" s="596"/>
      <c r="HK60" s="596"/>
      <c r="HL60" s="596"/>
      <c r="HM60" s="596"/>
      <c r="HN60" s="596"/>
      <c r="HO60" s="596"/>
      <c r="HP60" s="596"/>
      <c r="HQ60" s="596"/>
      <c r="HR60" s="596"/>
      <c r="HS60" s="596"/>
      <c r="HT60" s="596"/>
      <c r="HU60" s="596"/>
      <c r="HV60" s="596"/>
      <c r="HW60" s="596"/>
      <c r="HX60" s="596"/>
      <c r="HY60" s="596"/>
      <c r="HZ60" s="596"/>
      <c r="IA60" s="596"/>
      <c r="IB60" s="596"/>
      <c r="IC60" s="596"/>
      <c r="ID60" s="596"/>
      <c r="IE60" s="596"/>
      <c r="IF60" s="596"/>
      <c r="IG60" s="596"/>
      <c r="IH60" s="596"/>
      <c r="II60" s="596"/>
      <c r="IJ60" s="596"/>
      <c r="IK60" s="596"/>
      <c r="IL60" s="596"/>
      <c r="IM60" s="596"/>
      <c r="IN60" s="596"/>
      <c r="IO60" s="596"/>
      <c r="IP60" s="596"/>
      <c r="IQ60" s="596"/>
      <c r="IR60" s="596"/>
      <c r="IS60" s="596"/>
      <c r="IT60" s="596"/>
      <c r="IU60" s="596"/>
      <c r="IV60" s="596"/>
    </row>
    <row r="61" spans="1:256" ht="13.5" thickTop="1"/>
    <row r="62" spans="1:256">
      <c r="A62" s="615" t="s">
        <v>311</v>
      </c>
      <c r="B62" s="394"/>
      <c r="C62" s="394"/>
      <c r="D62" s="394"/>
      <c r="E62" s="394"/>
      <c r="F62" s="394"/>
      <c r="G62" s="394"/>
      <c r="H62" s="394"/>
      <c r="I62" s="394"/>
    </row>
    <row r="63" spans="1:256" ht="27.75" customHeight="1">
      <c r="A63" s="616">
        <v>1</v>
      </c>
      <c r="B63" s="2205" t="s">
        <v>792</v>
      </c>
      <c r="C63" s="2205"/>
      <c r="D63" s="2205"/>
      <c r="E63" s="2205"/>
      <c r="F63" s="2205"/>
      <c r="G63" s="2205"/>
      <c r="H63" s="2205"/>
      <c r="I63" s="2205"/>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zoomScale="80" zoomScaleNormal="80" zoomScaleSheetLayoutView="80" workbookViewId="0">
      <selection activeCell="G18" sqref="G18"/>
    </sheetView>
  </sheetViews>
  <sheetFormatPr defaultColWidth="9.28515625" defaultRowHeight="12.75"/>
  <cols>
    <col min="1" max="1" width="9.28515625" style="625"/>
    <col min="2" max="2" width="47.7109375" style="618" customWidth="1"/>
    <col min="3" max="3" width="38.42578125" style="618" customWidth="1"/>
    <col min="4" max="4" width="18.42578125" style="618" customWidth="1"/>
    <col min="5" max="5" width="14.28515625" style="618" customWidth="1"/>
    <col min="6" max="6" width="15.28515625" style="618" customWidth="1"/>
    <col min="7" max="7" width="14.28515625" style="618" customWidth="1"/>
    <col min="8" max="9" width="12.7109375" style="618" customWidth="1"/>
    <col min="10" max="10" width="9.28515625" style="618"/>
    <col min="11" max="11" width="10.7109375" style="618" bestFit="1" customWidth="1"/>
    <col min="12" max="12" width="10.28515625" style="618" bestFit="1" customWidth="1"/>
    <col min="13" max="16384" width="9.28515625" style="618"/>
  </cols>
  <sheetData>
    <row r="1" spans="1:12" ht="15">
      <c r="A1" s="617"/>
    </row>
    <row r="3" spans="1:12" s="621" customFormat="1" ht="15">
      <c r="A3" s="619"/>
      <c r="B3" s="2216" t="str">
        <f>+'OKT TCOS'!F4</f>
        <v xml:space="preserve">AEP West SPP Member Transmission Companies </v>
      </c>
      <c r="C3" s="2216"/>
      <c r="D3" s="2216"/>
      <c r="E3" s="2216"/>
      <c r="F3" s="2216"/>
      <c r="G3" s="2216"/>
      <c r="H3" s="2216"/>
      <c r="I3" s="2216"/>
      <c r="J3" s="620"/>
      <c r="K3" s="620"/>
      <c r="L3" s="620"/>
    </row>
    <row r="4" spans="1:12" s="621" customFormat="1" ht="15">
      <c r="A4" s="619"/>
      <c r="B4" s="2217" t="str">
        <f>+'OKT WS A-1 - Plant'!A3</f>
        <v xml:space="preserve">Actual / Projected 2022 Rate Year Cost of Service Formula Rate </v>
      </c>
      <c r="C4" s="2217"/>
      <c r="D4" s="2217"/>
      <c r="E4" s="2217"/>
      <c r="F4" s="2217"/>
      <c r="G4" s="2217"/>
      <c r="H4" s="2217"/>
      <c r="I4" s="2217"/>
      <c r="J4" s="622"/>
      <c r="K4" s="622"/>
      <c r="L4" s="622"/>
    </row>
    <row r="5" spans="1:12" s="621" customFormat="1" ht="15.75">
      <c r="A5" s="619"/>
      <c r="B5" s="2218" t="s">
        <v>877</v>
      </c>
      <c r="C5" s="2218"/>
      <c r="D5" s="2218"/>
      <c r="E5" s="2218"/>
      <c r="F5" s="2218"/>
      <c r="G5" s="2218"/>
      <c r="H5" s="2218"/>
      <c r="I5" s="2218"/>
      <c r="J5" s="623"/>
      <c r="K5" s="623"/>
      <c r="L5" s="623"/>
    </row>
    <row r="6" spans="1:12" s="621" customFormat="1" ht="15.75">
      <c r="A6" s="619"/>
      <c r="B6" s="2219" t="str">
        <f>+'OKT TCOS'!F8</f>
        <v>AEP OKLAHOMA TRANSMISSION COMPANY, INC.</v>
      </c>
      <c r="C6" s="2219"/>
      <c r="D6" s="2219"/>
      <c r="E6" s="2219"/>
      <c r="F6" s="2219"/>
      <c r="G6" s="2219"/>
      <c r="H6" s="2219"/>
      <c r="I6" s="2219"/>
      <c r="J6" s="624"/>
      <c r="K6" s="624"/>
      <c r="L6" s="624"/>
    </row>
    <row r="8" spans="1:12">
      <c r="B8" s="618" t="s">
        <v>799</v>
      </c>
    </row>
    <row r="9" spans="1:12" ht="25.5" customHeight="1">
      <c r="B9" s="2215" t="s">
        <v>800</v>
      </c>
      <c r="C9" s="2215"/>
      <c r="D9" s="2215"/>
      <c r="E9" s="2215"/>
      <c r="F9" s="2215"/>
      <c r="G9" s="2215"/>
      <c r="H9" s="2215"/>
      <c r="I9" s="2215"/>
    </row>
    <row r="10" spans="1:12" ht="25.5" customHeight="1">
      <c r="B10" s="2221" t="s">
        <v>1172</v>
      </c>
      <c r="C10" s="2221"/>
      <c r="D10" s="2221"/>
      <c r="E10" s="2221"/>
      <c r="F10" s="2221"/>
      <c r="G10" s="2221"/>
      <c r="H10" s="2221"/>
      <c r="I10" s="2221"/>
    </row>
    <row r="11" spans="1:12">
      <c r="B11" s="2215" t="s">
        <v>1173</v>
      </c>
      <c r="C11" s="2215"/>
      <c r="D11" s="2215"/>
      <c r="E11" s="2215"/>
      <c r="F11" s="2215"/>
      <c r="G11" s="2215"/>
      <c r="H11" s="2215"/>
      <c r="I11" s="2215"/>
    </row>
    <row r="13" spans="1:12">
      <c r="B13" s="626" t="s">
        <v>298</v>
      </c>
      <c r="C13" s="627" t="s">
        <v>299</v>
      </c>
      <c r="D13" s="627"/>
      <c r="E13" s="627" t="s">
        <v>300</v>
      </c>
      <c r="F13" s="627" t="s">
        <v>301</v>
      </c>
      <c r="G13" s="627" t="s">
        <v>226</v>
      </c>
      <c r="H13" s="627" t="s">
        <v>227</v>
      </c>
      <c r="I13" s="627" t="s">
        <v>228</v>
      </c>
    </row>
    <row r="14" spans="1:12">
      <c r="A14" s="628" t="s">
        <v>305</v>
      </c>
    </row>
    <row r="15" spans="1:12">
      <c r="A15" s="629"/>
      <c r="E15" s="2220" t="s">
        <v>1070</v>
      </c>
      <c r="F15" s="2220"/>
      <c r="G15" s="2220"/>
      <c r="H15" s="2220"/>
      <c r="I15" s="2220"/>
      <c r="J15" s="2143"/>
      <c r="K15" s="2143"/>
    </row>
    <row r="16" spans="1:12" ht="15">
      <c r="A16" s="629"/>
      <c r="B16" s="630" t="s">
        <v>796</v>
      </c>
      <c r="C16" s="631" t="s">
        <v>342</v>
      </c>
      <c r="D16" s="631" t="s">
        <v>255</v>
      </c>
      <c r="E16" s="632">
        <v>1901001</v>
      </c>
      <c r="F16" s="632">
        <v>2821001</v>
      </c>
      <c r="G16" s="632">
        <v>2831001</v>
      </c>
      <c r="H16" s="632" t="s">
        <v>798</v>
      </c>
      <c r="I16" s="632" t="s">
        <v>798</v>
      </c>
      <c r="J16" s="2143"/>
      <c r="K16" s="2143"/>
    </row>
    <row r="17" spans="1:11">
      <c r="A17" s="629"/>
      <c r="B17" s="2066" t="s">
        <v>1152</v>
      </c>
      <c r="C17" s="2067"/>
      <c r="D17" s="2067"/>
      <c r="E17" s="632" t="s">
        <v>1153</v>
      </c>
      <c r="F17" s="632" t="s">
        <v>1153</v>
      </c>
      <c r="G17" s="632" t="s">
        <v>1153</v>
      </c>
      <c r="H17" s="632"/>
      <c r="I17" s="632"/>
      <c r="J17" s="2143"/>
      <c r="K17" s="2143"/>
    </row>
    <row r="18" spans="1:11" ht="25.5">
      <c r="A18" s="629">
        <v>1</v>
      </c>
      <c r="B18" s="633" t="s">
        <v>1174</v>
      </c>
      <c r="C18" s="625" t="s">
        <v>801</v>
      </c>
      <c r="D18" s="625">
        <f>+SUM(E18:I18)</f>
        <v>4104405.9999999995</v>
      </c>
      <c r="E18" s="634">
        <v>0</v>
      </c>
      <c r="F18" s="634">
        <v>-2114895.0256543602</v>
      </c>
      <c r="G18" s="634">
        <v>6219301.0256543597</v>
      </c>
      <c r="H18" s="634"/>
      <c r="I18" s="634"/>
      <c r="J18" s="2143"/>
      <c r="K18" s="2143"/>
    </row>
    <row r="19" spans="1:11">
      <c r="A19" s="629">
        <f t="shared" ref="A19:A47" si="0">+A18+1</f>
        <v>2</v>
      </c>
      <c r="B19" s="633" t="s">
        <v>808</v>
      </c>
      <c r="C19" s="635" t="s">
        <v>1175</v>
      </c>
      <c r="D19" s="636"/>
      <c r="E19" s="635">
        <v>5</v>
      </c>
      <c r="F19" s="635">
        <v>5</v>
      </c>
      <c r="G19" s="634">
        <v>5</v>
      </c>
      <c r="H19" s="635">
        <v>5</v>
      </c>
      <c r="I19" s="635">
        <v>5</v>
      </c>
      <c r="J19" s="2143"/>
      <c r="K19" s="2143"/>
    </row>
    <row r="20" spans="1:11">
      <c r="A20" s="629">
        <f t="shared" si="0"/>
        <v>3</v>
      </c>
      <c r="B20" s="637" t="s">
        <v>797</v>
      </c>
      <c r="C20" s="638" t="str">
        <f>"Line "&amp;A18&amp;" / Line "&amp;A19</f>
        <v>Line 1 / Line 2</v>
      </c>
      <c r="D20" s="638">
        <f>+SUM(E20:I20)</f>
        <v>820881.19999999984</v>
      </c>
      <c r="E20" s="639">
        <f>+E18/E19</f>
        <v>0</v>
      </c>
      <c r="F20" s="639">
        <f>+F18/F19</f>
        <v>-422979.00513087201</v>
      </c>
      <c r="G20" s="639">
        <f>+G18/G19</f>
        <v>1243860.2051308719</v>
      </c>
      <c r="H20" s="639">
        <f>+H18/H19</f>
        <v>0</v>
      </c>
      <c r="I20" s="639">
        <f>+I18/I19</f>
        <v>0</v>
      </c>
      <c r="J20" s="2143"/>
      <c r="K20" s="2143"/>
    </row>
    <row r="21" spans="1:11" ht="13.5" customHeight="1">
      <c r="A21" s="629">
        <f t="shared" si="0"/>
        <v>4</v>
      </c>
      <c r="B21" s="633" t="s">
        <v>794</v>
      </c>
      <c r="C21" s="625" t="s">
        <v>801</v>
      </c>
      <c r="D21" s="625">
        <f>+SUM(E21:I21)</f>
        <v>3283524.7999999993</v>
      </c>
      <c r="E21" s="634">
        <v>0</v>
      </c>
      <c r="F21" s="634">
        <v>-1691916.0205234881</v>
      </c>
      <c r="G21" s="634">
        <v>4975440.8205234874</v>
      </c>
      <c r="H21" s="634"/>
      <c r="I21" s="634"/>
      <c r="J21" s="2143"/>
      <c r="K21" s="2143"/>
    </row>
    <row r="22" spans="1:11">
      <c r="A22" s="629">
        <f t="shared" si="0"/>
        <v>5</v>
      </c>
      <c r="B22" s="637" t="s">
        <v>795</v>
      </c>
      <c r="C22" s="638" t="str">
        <f>"Line "&amp;A20&amp;" + Line "&amp;A21</f>
        <v>Line 3 + Line 4</v>
      </c>
      <c r="D22" s="638">
        <f>+SUM(E22:I22)</f>
        <v>4104405.9999999986</v>
      </c>
      <c r="E22" s="639">
        <f>+E20+E21</f>
        <v>0</v>
      </c>
      <c r="F22" s="639">
        <f>+F20+F21</f>
        <v>-2114895.0256543602</v>
      </c>
      <c r="G22" s="639">
        <f>+G20+G21</f>
        <v>6219301.0256543588</v>
      </c>
      <c r="H22" s="639">
        <f>+H20+H21</f>
        <v>0</v>
      </c>
      <c r="I22" s="639">
        <f>+I20+I21</f>
        <v>0</v>
      </c>
      <c r="J22" s="2143"/>
      <c r="K22" s="2143"/>
    </row>
    <row r="23" spans="1:11">
      <c r="A23" s="629"/>
      <c r="B23" s="640"/>
      <c r="J23" s="2143"/>
      <c r="K23" s="2143"/>
    </row>
    <row r="24" spans="1:11" ht="25.5">
      <c r="A24" s="629">
        <f>+A22+1</f>
        <v>6</v>
      </c>
      <c r="B24" s="633" t="s">
        <v>810</v>
      </c>
      <c r="C24" s="634" t="s">
        <v>812</v>
      </c>
      <c r="D24" s="625">
        <f>+SUM(E24:I24)</f>
        <v>1691255.86</v>
      </c>
      <c r="E24" s="618">
        <v>0</v>
      </c>
      <c r="F24" s="634">
        <f>+'OKT WS C-2 ADIT BOY'!H25</f>
        <v>-422976.26</v>
      </c>
      <c r="G24" s="634">
        <f>+'OKT WS C-2 ADIT BOY'!H37</f>
        <v>2114232.12</v>
      </c>
      <c r="J24" s="2143"/>
      <c r="K24" s="2143"/>
    </row>
    <row r="25" spans="1:11" ht="25.5">
      <c r="A25" s="629">
        <f t="shared" si="0"/>
        <v>7</v>
      </c>
      <c r="B25" s="633" t="s">
        <v>809</v>
      </c>
      <c r="C25" s="625" t="str">
        <f>"Line "&amp;A18&amp;" - Line "&amp;A21</f>
        <v>Line 1 - Line 4</v>
      </c>
      <c r="D25" s="625">
        <f t="shared" ref="D25:D26" si="1">+SUM(E25:I25)</f>
        <v>820881.20000000019</v>
      </c>
      <c r="E25" s="618">
        <f>+E18-E21</f>
        <v>0</v>
      </c>
      <c r="F25" s="618">
        <f>+F18-F21</f>
        <v>-422979.00513087213</v>
      </c>
      <c r="G25" s="618">
        <f>+G18-G21</f>
        <v>1243860.2051308723</v>
      </c>
      <c r="H25" s="618">
        <f>+H18-H21</f>
        <v>0</v>
      </c>
      <c r="I25" s="618">
        <f>+I18-I21</f>
        <v>0</v>
      </c>
      <c r="J25" s="2143"/>
    </row>
    <row r="26" spans="1:11">
      <c r="A26" s="629">
        <f t="shared" si="0"/>
        <v>8</v>
      </c>
      <c r="B26" s="637" t="s">
        <v>811</v>
      </c>
      <c r="C26" s="638" t="str">
        <f>"Line "&amp;A24&amp;" - Line "&amp;A25</f>
        <v>Line 6 - Line 7</v>
      </c>
      <c r="D26" s="638">
        <f t="shared" si="1"/>
        <v>870374.65999999992</v>
      </c>
      <c r="E26" s="639">
        <f>+E24-E25</f>
        <v>0</v>
      </c>
      <c r="F26" s="639">
        <f>+F24-F25</f>
        <v>2.7451308721210808</v>
      </c>
      <c r="G26" s="639">
        <f>+G24-G25</f>
        <v>870371.9148691278</v>
      </c>
      <c r="H26" s="639">
        <f>+H24-H25</f>
        <v>0</v>
      </c>
      <c r="I26" s="639">
        <f>+I24-I25</f>
        <v>0</v>
      </c>
      <c r="J26" s="2143"/>
    </row>
    <row r="27" spans="1:11">
      <c r="A27" s="629"/>
      <c r="B27" s="633"/>
      <c r="J27" s="2143"/>
    </row>
    <row r="28" spans="1:11" ht="25.5">
      <c r="A28" s="629">
        <f>+A26+1</f>
        <v>9</v>
      </c>
      <c r="B28" s="633" t="s">
        <v>803</v>
      </c>
      <c r="C28" s="634" t="s">
        <v>804</v>
      </c>
      <c r="D28" s="625">
        <f>+SUM(E28:I28)</f>
        <v>-1.1400000000000001</v>
      </c>
      <c r="E28" s="619">
        <v>0</v>
      </c>
      <c r="F28" s="634">
        <f>+'OKT WS C-1 ADIT EOY'!H25</f>
        <v>-1.26</v>
      </c>
      <c r="G28" s="634">
        <f>+'OKT WS C-1 ADIT EOY'!H37</f>
        <v>0.12</v>
      </c>
      <c r="H28" s="619"/>
      <c r="I28" s="619"/>
      <c r="J28" s="2143"/>
    </row>
    <row r="29" spans="1:11" ht="25.5">
      <c r="A29" s="629">
        <f t="shared" si="0"/>
        <v>10</v>
      </c>
      <c r="B29" s="633" t="s">
        <v>807</v>
      </c>
      <c r="C29" s="625" t="str">
        <f>"Line "&amp;A18&amp;" - Line "&amp;A22</f>
        <v>Line 1 - Line 5</v>
      </c>
      <c r="D29" s="625">
        <f t="shared" ref="D29:D30" si="2">+SUM(E29:I29)</f>
        <v>0</v>
      </c>
      <c r="E29" s="641">
        <f>+E18-E22</f>
        <v>0</v>
      </c>
      <c r="F29" s="641">
        <f>+F18-F22</f>
        <v>0</v>
      </c>
      <c r="G29" s="641">
        <f>+G18-G22</f>
        <v>0</v>
      </c>
      <c r="H29" s="641">
        <f>+H18-H22</f>
        <v>0</v>
      </c>
      <c r="I29" s="641">
        <f>+I18-I22</f>
        <v>0</v>
      </c>
    </row>
    <row r="30" spans="1:11">
      <c r="A30" s="629">
        <f t="shared" si="0"/>
        <v>11</v>
      </c>
      <c r="B30" s="637" t="s">
        <v>806</v>
      </c>
      <c r="C30" s="638" t="str">
        <f>"Line "&amp;A28&amp;" - Line "&amp;A29</f>
        <v>Line 9 - Line 10</v>
      </c>
      <c r="D30" s="638">
        <f t="shared" si="2"/>
        <v>-1.1400000000000001</v>
      </c>
      <c r="E30" s="639">
        <f>+E28-E29</f>
        <v>0</v>
      </c>
      <c r="F30" s="639">
        <f>+F28-F29</f>
        <v>-1.26</v>
      </c>
      <c r="G30" s="639">
        <f>+G28-G29</f>
        <v>0.12</v>
      </c>
      <c r="H30" s="639">
        <f t="shared" ref="H30:I30" si="3">+H28-H29</f>
        <v>0</v>
      </c>
      <c r="I30" s="639">
        <f t="shared" si="3"/>
        <v>0</v>
      </c>
    </row>
    <row r="31" spans="1:11">
      <c r="A31" s="629"/>
    </row>
    <row r="32" spans="1:11">
      <c r="A32" s="629"/>
    </row>
    <row r="33" spans="1:10">
      <c r="A33" s="629"/>
      <c r="E33" s="2214" t="s">
        <v>1070</v>
      </c>
      <c r="F33" s="2214"/>
      <c r="G33" s="2214"/>
    </row>
    <row r="34" spans="1:10" ht="15">
      <c r="A34" s="629"/>
      <c r="B34" s="630" t="s">
        <v>802</v>
      </c>
      <c r="C34" s="631" t="s">
        <v>342</v>
      </c>
      <c r="D34" s="631" t="s">
        <v>255</v>
      </c>
      <c r="E34" s="642">
        <v>2821001</v>
      </c>
      <c r="F34" s="642" t="s">
        <v>798</v>
      </c>
      <c r="G34" s="642" t="s">
        <v>798</v>
      </c>
      <c r="H34" s="2144"/>
      <c r="I34" s="643"/>
    </row>
    <row r="35" spans="1:10">
      <c r="A35" s="629"/>
      <c r="B35" s="2066" t="s">
        <v>1152</v>
      </c>
      <c r="C35" s="2067"/>
      <c r="D35" s="2067"/>
      <c r="E35" s="632" t="s">
        <v>1153</v>
      </c>
      <c r="F35" s="632"/>
      <c r="G35" s="632"/>
      <c r="H35" s="2144"/>
      <c r="I35" s="643"/>
    </row>
    <row r="36" spans="1:10" ht="25.5">
      <c r="A36" s="629">
        <f>+A30+1</f>
        <v>12</v>
      </c>
      <c r="B36" s="633" t="s">
        <v>825</v>
      </c>
      <c r="C36" s="625" t="s">
        <v>801</v>
      </c>
      <c r="D36" s="625">
        <f t="shared" ref="D36:D47" si="4">+SUM(E36:I36)</f>
        <v>-62096517.309100017</v>
      </c>
      <c r="E36" s="634">
        <v>-62096517.309100017</v>
      </c>
      <c r="F36" s="634"/>
      <c r="G36" s="634"/>
      <c r="H36" s="2144"/>
      <c r="I36" s="2144"/>
    </row>
    <row r="37" spans="1:10">
      <c r="A37" s="629">
        <f>+A36+1</f>
        <v>13</v>
      </c>
      <c r="B37" s="633" t="s">
        <v>797</v>
      </c>
      <c r="C37" s="625" t="s">
        <v>801</v>
      </c>
      <c r="D37" s="625">
        <f t="shared" si="4"/>
        <v>61164.061592932325</v>
      </c>
      <c r="E37" s="634">
        <v>61164.061592932325</v>
      </c>
      <c r="F37" s="634"/>
      <c r="G37" s="634"/>
      <c r="H37" s="2144"/>
      <c r="I37" s="2144"/>
    </row>
    <row r="38" spans="1:10" ht="13.5" customHeight="1">
      <c r="A38" s="629">
        <f t="shared" si="0"/>
        <v>14</v>
      </c>
      <c r="B38" s="633" t="s">
        <v>817</v>
      </c>
      <c r="C38" s="625" t="s">
        <v>801</v>
      </c>
      <c r="D38" s="625">
        <f t="shared" si="4"/>
        <v>-1999915.5906166246</v>
      </c>
      <c r="E38" s="634">
        <v>-1999915.5906166246</v>
      </c>
      <c r="F38" s="634"/>
      <c r="G38" s="634"/>
      <c r="H38" s="2144"/>
      <c r="I38" s="2144"/>
    </row>
    <row r="39" spans="1:10">
      <c r="A39" s="629">
        <f t="shared" si="0"/>
        <v>15</v>
      </c>
      <c r="B39" s="637" t="s">
        <v>818</v>
      </c>
      <c r="C39" s="638" t="str">
        <f>"Line "&amp;A37&amp;" + Line "&amp;A38</f>
        <v>Line 13 + Line 14</v>
      </c>
      <c r="D39" s="638">
        <f t="shared" si="4"/>
        <v>-1938751.5290236922</v>
      </c>
      <c r="E39" s="639">
        <f>+E37+E38</f>
        <v>-1938751.5290236922</v>
      </c>
      <c r="F39" s="639">
        <f>+F37+F38</f>
        <v>0</v>
      </c>
      <c r="G39" s="639"/>
      <c r="H39" s="2144"/>
      <c r="I39" s="2144"/>
    </row>
    <row r="40" spans="1:10">
      <c r="A40" s="629"/>
      <c r="B40" s="640"/>
      <c r="H40" s="2144"/>
      <c r="I40" s="2144"/>
    </row>
    <row r="41" spans="1:10" ht="25.5">
      <c r="A41" s="629">
        <f>+A39+1</f>
        <v>16</v>
      </c>
      <c r="B41" s="633" t="s">
        <v>815</v>
      </c>
      <c r="C41" s="634" t="s">
        <v>814</v>
      </c>
      <c r="D41" s="619">
        <f t="shared" si="4"/>
        <v>-61928466</v>
      </c>
      <c r="E41" s="634">
        <f>+'OKT WS C-2 ADIT BOY'!H24</f>
        <v>-61928466</v>
      </c>
      <c r="F41" s="641"/>
      <c r="G41" s="641"/>
      <c r="H41" s="2144"/>
      <c r="I41" s="2144"/>
      <c r="J41" s="643"/>
    </row>
    <row r="42" spans="1:10" ht="25.5">
      <c r="A42" s="629">
        <f t="shared" si="0"/>
        <v>17</v>
      </c>
      <c r="B42" s="633" t="s">
        <v>809</v>
      </c>
      <c r="C42" s="625" t="str">
        <f>"Line "&amp;A36&amp;" - Line "&amp;A38</f>
        <v>Line 12 - Line 14</v>
      </c>
      <c r="D42" s="644">
        <f t="shared" si="4"/>
        <v>-60096601.718483396</v>
      </c>
      <c r="E42" s="641">
        <f>+E36-E38</f>
        <v>-60096601.718483396</v>
      </c>
      <c r="F42" s="641">
        <f>+F36-F38</f>
        <v>0</v>
      </c>
      <c r="G42" s="641">
        <f>+G36-G38</f>
        <v>0</v>
      </c>
      <c r="H42" s="2144"/>
      <c r="I42" s="2144"/>
      <c r="J42" s="643"/>
    </row>
    <row r="43" spans="1:10">
      <c r="A43" s="629">
        <f t="shared" si="0"/>
        <v>18</v>
      </c>
      <c r="B43" s="637" t="s">
        <v>811</v>
      </c>
      <c r="C43" s="638" t="str">
        <f>"Line "&amp;A41&amp;" - Line "&amp;A42</f>
        <v>Line 16 - Line 17</v>
      </c>
      <c r="D43" s="645">
        <f t="shared" si="4"/>
        <v>-1831864.2815166041</v>
      </c>
      <c r="E43" s="639">
        <f>+E41-E42</f>
        <v>-1831864.2815166041</v>
      </c>
      <c r="F43" s="639">
        <f>+F41-F42</f>
        <v>0</v>
      </c>
      <c r="G43" s="639">
        <f>+G41-G42</f>
        <v>0</v>
      </c>
      <c r="H43" s="2144"/>
      <c r="I43" s="2144"/>
      <c r="J43" s="643"/>
    </row>
    <row r="44" spans="1:10">
      <c r="A44" s="629"/>
      <c r="H44" s="2144"/>
      <c r="I44" s="2144"/>
      <c r="J44" s="643"/>
    </row>
    <row r="45" spans="1:10" ht="25.5">
      <c r="A45" s="629">
        <f>+A43+1</f>
        <v>19</v>
      </c>
      <c r="B45" s="633" t="s">
        <v>816</v>
      </c>
      <c r="C45" s="634" t="s">
        <v>805</v>
      </c>
      <c r="D45" s="619">
        <f t="shared" si="4"/>
        <v>-61224288</v>
      </c>
      <c r="E45" s="634">
        <f>+'OKT WS C-1 ADIT EOY'!H24</f>
        <v>-61224288</v>
      </c>
      <c r="F45" s="619"/>
      <c r="G45" s="619"/>
      <c r="H45" s="2144"/>
      <c r="I45" s="2144"/>
      <c r="J45" s="643"/>
    </row>
    <row r="46" spans="1:10" ht="25.5">
      <c r="A46" s="629">
        <f t="shared" si="0"/>
        <v>20</v>
      </c>
      <c r="B46" s="633" t="s">
        <v>807</v>
      </c>
      <c r="C46" s="625" t="str">
        <f>"Line "&amp;A36&amp;" - Line "&amp;A39</f>
        <v>Line 12 - Line 15</v>
      </c>
      <c r="D46" s="644">
        <f t="shared" si="4"/>
        <v>-60157765.780076325</v>
      </c>
      <c r="E46" s="619">
        <f>+E36-E39</f>
        <v>-60157765.780076325</v>
      </c>
      <c r="F46" s="619">
        <f>+F36-F39</f>
        <v>0</v>
      </c>
      <c r="G46" s="619">
        <f>+G36-G39</f>
        <v>0</v>
      </c>
      <c r="H46" s="643"/>
      <c r="I46" s="643"/>
      <c r="J46" s="643"/>
    </row>
    <row r="47" spans="1:10">
      <c r="A47" s="629">
        <f t="shared" si="0"/>
        <v>21</v>
      </c>
      <c r="B47" s="637" t="s">
        <v>806</v>
      </c>
      <c r="C47" s="638" t="str">
        <f>"Line "&amp;A45&amp;" - Line "&amp;A46</f>
        <v>Line 19 - Line 20</v>
      </c>
      <c r="D47" s="645">
        <f t="shared" si="4"/>
        <v>-1066522.2199236751</v>
      </c>
      <c r="E47" s="639">
        <f>+E45-E46</f>
        <v>-1066522.2199236751</v>
      </c>
      <c r="F47" s="639">
        <f>+F45-F46</f>
        <v>0</v>
      </c>
      <c r="G47" s="639">
        <f>+G45-G46</f>
        <v>0</v>
      </c>
      <c r="H47" s="643"/>
      <c r="I47" s="643"/>
    </row>
    <row r="48" spans="1:10">
      <c r="A48" s="629"/>
      <c r="G48" s="643"/>
      <c r="H48" s="643"/>
      <c r="I48" s="643"/>
    </row>
    <row r="49" spans="1:7">
      <c r="A49" s="629"/>
    </row>
    <row r="50" spans="1:7" ht="15">
      <c r="A50" s="629"/>
      <c r="B50" s="630" t="s">
        <v>822</v>
      </c>
      <c r="D50" s="646" t="s">
        <v>793</v>
      </c>
    </row>
    <row r="51" spans="1:7">
      <c r="A51" s="629">
        <f>+A47+1</f>
        <v>22</v>
      </c>
      <c r="B51" s="618" t="s">
        <v>819</v>
      </c>
      <c r="C51" s="625" t="str">
        <f>"Line "&amp;A20</f>
        <v>Line 3</v>
      </c>
      <c r="D51" s="618">
        <f>+D20</f>
        <v>820881.19999999984</v>
      </c>
    </row>
    <row r="52" spans="1:7">
      <c r="A52" s="629">
        <f>+A51+1</f>
        <v>23</v>
      </c>
      <c r="B52" s="618" t="s">
        <v>820</v>
      </c>
      <c r="C52" s="625" t="str">
        <f>"Line "&amp;A37</f>
        <v>Line 13</v>
      </c>
      <c r="D52" s="618">
        <f>+D37</f>
        <v>61164.061592932325</v>
      </c>
    </row>
    <row r="53" spans="1:7">
      <c r="A53" s="629">
        <f>+A52+1</f>
        <v>24</v>
      </c>
      <c r="B53" s="639" t="s">
        <v>821</v>
      </c>
      <c r="C53" s="638" t="str">
        <f>"Line "&amp;A51&amp;" + Line "&amp;A52</f>
        <v>Line 22 + Line 23</v>
      </c>
      <c r="D53" s="639">
        <f>+D51+D52</f>
        <v>882045.26159293216</v>
      </c>
    </row>
    <row r="55" spans="1:7">
      <c r="B55" s="618" t="s">
        <v>1171</v>
      </c>
    </row>
    <row r="57" spans="1:7">
      <c r="B57" s="2054" t="s">
        <v>1073</v>
      </c>
      <c r="C57" s="2054" t="s">
        <v>1154</v>
      </c>
      <c r="D57" s="2212" t="s">
        <v>1155</v>
      </c>
      <c r="E57" s="2213"/>
      <c r="F57" s="2212" t="s">
        <v>1156</v>
      </c>
      <c r="G57" s="2213"/>
    </row>
    <row r="58" spans="1:7">
      <c r="B58" s="2053" t="s">
        <v>1153</v>
      </c>
      <c r="C58" s="2053" t="s">
        <v>876</v>
      </c>
      <c r="D58" s="2210" t="s">
        <v>1157</v>
      </c>
      <c r="E58" s="2211"/>
      <c r="F58" s="2210" t="s">
        <v>1158</v>
      </c>
      <c r="G58" s="2211"/>
    </row>
    <row r="59" spans="1:7">
      <c r="B59" s="2053"/>
      <c r="C59" s="2053"/>
      <c r="D59" s="2210"/>
      <c r="E59" s="2211"/>
      <c r="F59" s="2210"/>
      <c r="G59" s="2211"/>
    </row>
    <row r="60" spans="1:7">
      <c r="B60" s="2053"/>
      <c r="C60" s="2053"/>
      <c r="D60" s="2210"/>
      <c r="E60" s="2211"/>
      <c r="F60" s="2210"/>
      <c r="G60" s="2211"/>
    </row>
    <row r="61" spans="1:7">
      <c r="B61" s="2053"/>
      <c r="C61" s="2053"/>
      <c r="D61" s="2210"/>
      <c r="E61" s="2211"/>
      <c r="F61" s="2210"/>
      <c r="G61" s="2211"/>
    </row>
  </sheetData>
  <mergeCells count="19">
    <mergeCell ref="E33:G33"/>
    <mergeCell ref="B9:I9"/>
    <mergeCell ref="B3:I3"/>
    <mergeCell ref="B4:I4"/>
    <mergeCell ref="B5:I5"/>
    <mergeCell ref="B6:I6"/>
    <mergeCell ref="E15:I15"/>
    <mergeCell ref="B10:I10"/>
    <mergeCell ref="B11:I11"/>
    <mergeCell ref="D60:E60"/>
    <mergeCell ref="F60:G60"/>
    <mergeCell ref="D61:E61"/>
    <mergeCell ref="F61:G61"/>
    <mergeCell ref="D57:E57"/>
    <mergeCell ref="F57:G57"/>
    <mergeCell ref="D58:E58"/>
    <mergeCell ref="F58:G58"/>
    <mergeCell ref="D59:E59"/>
    <mergeCell ref="F59:G59"/>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116"/>
  <sheetViews>
    <sheetView zoomScale="85" zoomScaleNormal="85" workbookViewId="0">
      <selection activeCell="A4" sqref="A4"/>
    </sheetView>
  </sheetViews>
  <sheetFormatPr defaultColWidth="9.140625" defaultRowHeight="12"/>
  <cols>
    <col min="1" max="1" width="8.5703125" style="1969" customWidth="1"/>
    <col min="2" max="2" width="19.140625" style="1970" customWidth="1"/>
    <col min="3" max="3" width="32.7109375" style="1969" customWidth="1"/>
    <col min="4" max="4" width="11.85546875" style="1969" customWidth="1"/>
    <col min="5" max="5" width="9.5703125" style="1969" customWidth="1"/>
    <col min="6" max="6" width="15.140625" style="1969" customWidth="1"/>
    <col min="7" max="7" width="16.140625" style="1969" customWidth="1"/>
    <col min="8" max="8" width="13.140625" style="1969" bestFit="1" customWidth="1"/>
    <col min="9" max="9" width="17.42578125" style="1969" customWidth="1"/>
    <col min="10" max="10" width="14.28515625" style="1969" customWidth="1"/>
    <col min="11" max="11" width="14.85546875" style="1969" customWidth="1"/>
    <col min="12" max="13" width="13.85546875" style="1969" customWidth="1"/>
    <col min="14" max="14" width="12.42578125" style="1969" customWidth="1"/>
    <col min="15" max="15" width="13.85546875" style="1969" customWidth="1"/>
    <col min="16" max="17" width="16.140625" style="1969" customWidth="1"/>
    <col min="18" max="18" width="30.42578125" style="1969" customWidth="1"/>
    <col min="19" max="19" width="13.85546875" style="1969" customWidth="1"/>
    <col min="20" max="21" width="13.42578125" style="1969" bestFit="1" customWidth="1"/>
    <col min="22" max="22" width="9.7109375" style="1969" bestFit="1" customWidth="1"/>
    <col min="23" max="16384" width="9.140625" style="1969"/>
  </cols>
  <sheetData>
    <row r="1" spans="1:23" ht="15.6" customHeight="1">
      <c r="A1" s="1969" t="s">
        <v>922</v>
      </c>
      <c r="Q1" s="1937"/>
      <c r="R1" s="1936"/>
    </row>
    <row r="2" spans="1:23" ht="15">
      <c r="A2" s="1969" t="s">
        <v>1063</v>
      </c>
      <c r="Q2" s="1937"/>
      <c r="R2" s="1936"/>
      <c r="V2" s="1972"/>
    </row>
    <row r="3" spans="1:23" ht="12.75">
      <c r="A3" s="1969" t="s">
        <v>1064</v>
      </c>
      <c r="R3" s="1936"/>
      <c r="V3" s="1973"/>
    </row>
    <row r="4" spans="1:23">
      <c r="A4" s="1969" t="s">
        <v>1151</v>
      </c>
      <c r="G4" s="1974"/>
    </row>
    <row r="5" spans="1:23">
      <c r="A5" s="1969" t="s">
        <v>1031</v>
      </c>
      <c r="I5" s="1975"/>
      <c r="J5" s="1975"/>
      <c r="P5" s="1975"/>
      <c r="Q5" s="1975"/>
    </row>
    <row r="6" spans="1:23">
      <c r="J6" s="1975"/>
      <c r="K6" s="1976"/>
      <c r="L6" s="1970"/>
      <c r="M6" s="1970"/>
      <c r="N6" s="1970"/>
      <c r="O6" s="1970"/>
      <c r="P6" s="1970"/>
      <c r="Q6" s="1970"/>
    </row>
    <row r="7" spans="1:23">
      <c r="B7" s="1977"/>
      <c r="C7" s="1977"/>
      <c r="D7" s="1977"/>
      <c r="E7" s="1977"/>
      <c r="F7" s="1977"/>
      <c r="G7" s="1977"/>
      <c r="H7" s="1977"/>
      <c r="I7" s="1977"/>
      <c r="J7" s="1977"/>
      <c r="K7" s="1977"/>
      <c r="L7" s="1977"/>
      <c r="M7" s="1977"/>
      <c r="N7" s="1977"/>
      <c r="O7" s="1977"/>
      <c r="P7" s="1977"/>
      <c r="Q7" s="1970"/>
    </row>
    <row r="8" spans="1:23">
      <c r="A8" s="1970" t="s">
        <v>284</v>
      </c>
      <c r="B8" s="1970" t="s">
        <v>285</v>
      </c>
      <c r="C8" s="1970" t="s">
        <v>286</v>
      </c>
      <c r="D8" s="1970" t="s">
        <v>287</v>
      </c>
      <c r="E8" s="1970" t="s">
        <v>288</v>
      </c>
      <c r="F8" s="1970" t="s">
        <v>289</v>
      </c>
      <c r="G8" s="1970" t="s">
        <v>290</v>
      </c>
      <c r="H8" s="1970" t="s">
        <v>291</v>
      </c>
      <c r="I8" s="1970" t="s">
        <v>1065</v>
      </c>
      <c r="J8" s="1970" t="s">
        <v>1066</v>
      </c>
      <c r="K8" s="1970" t="s">
        <v>294</v>
      </c>
      <c r="L8" s="1970" t="s">
        <v>295</v>
      </c>
      <c r="M8" s="1970" t="s">
        <v>296</v>
      </c>
      <c r="N8" s="1970" t="s">
        <v>364</v>
      </c>
      <c r="O8" s="1970" t="s">
        <v>385</v>
      </c>
      <c r="P8" s="1970" t="s">
        <v>11</v>
      </c>
      <c r="Q8" s="1970" t="s">
        <v>12</v>
      </c>
      <c r="R8" s="1970" t="s">
        <v>13</v>
      </c>
    </row>
    <row r="9" spans="1:23" ht="14.45" customHeight="1">
      <c r="A9" s="1969" t="s">
        <v>1187</v>
      </c>
      <c r="B9" s="1978"/>
      <c r="C9" s="1978"/>
      <c r="D9" s="1978"/>
      <c r="E9" s="1978"/>
      <c r="I9" s="2222" t="s">
        <v>1257</v>
      </c>
      <c r="J9" s="2222"/>
      <c r="K9" s="2223" t="s">
        <v>1067</v>
      </c>
      <c r="L9" s="2223"/>
      <c r="M9" s="2223"/>
      <c r="N9" s="2224" t="s">
        <v>1068</v>
      </c>
      <c r="O9" s="2224"/>
      <c r="P9" s="2222" t="s">
        <v>1258</v>
      </c>
      <c r="Q9" s="2222"/>
      <c r="R9" s="1979"/>
    </row>
    <row r="10" spans="1:23" ht="69.95" customHeight="1">
      <c r="A10" s="1979" t="s">
        <v>1069</v>
      </c>
      <c r="B10" s="1980" t="s">
        <v>1070</v>
      </c>
      <c r="C10" s="1980" t="s">
        <v>1071</v>
      </c>
      <c r="D10" s="1981" t="s">
        <v>1072</v>
      </c>
      <c r="E10" s="1981" t="s">
        <v>1073</v>
      </c>
      <c r="F10" s="1981" t="s">
        <v>1074</v>
      </c>
      <c r="G10" s="1981" t="s">
        <v>1075</v>
      </c>
      <c r="H10" s="1981" t="s">
        <v>862</v>
      </c>
      <c r="I10" s="2162" t="s">
        <v>1076</v>
      </c>
      <c r="J10" s="2162" t="s">
        <v>1077</v>
      </c>
      <c r="K10" s="1983" t="s">
        <v>1078</v>
      </c>
      <c r="L10" s="1983">
        <v>182.3</v>
      </c>
      <c r="M10" s="1983">
        <v>254</v>
      </c>
      <c r="N10" s="1983" t="s">
        <v>1079</v>
      </c>
      <c r="O10" s="1983" t="s">
        <v>1080</v>
      </c>
      <c r="P10" s="1982" t="s">
        <v>1081</v>
      </c>
      <c r="Q10" s="1982" t="s">
        <v>1082</v>
      </c>
      <c r="R10" s="1984" t="s">
        <v>1038</v>
      </c>
    </row>
    <row r="11" spans="1:23">
      <c r="B11" s="1969"/>
      <c r="D11" s="1985"/>
      <c r="E11" s="1985"/>
      <c r="F11" s="1985"/>
      <c r="G11" s="1985"/>
      <c r="H11" s="1985"/>
      <c r="I11" s="1986"/>
      <c r="J11" s="1986"/>
      <c r="K11" s="1986"/>
      <c r="L11" s="1986"/>
      <c r="M11" s="1986"/>
      <c r="N11" s="1986"/>
      <c r="O11" s="1986"/>
      <c r="P11" s="2225" t="s">
        <v>1083</v>
      </c>
      <c r="Q11" s="2225"/>
      <c r="R11" s="1984"/>
    </row>
    <row r="12" spans="1:23">
      <c r="B12" s="1987" t="s">
        <v>1084</v>
      </c>
      <c r="C12" s="1988"/>
      <c r="D12" s="1989"/>
      <c r="E12" s="1989"/>
      <c r="F12" s="1989"/>
      <c r="G12" s="1989"/>
      <c r="H12" s="1989"/>
      <c r="I12" s="1989"/>
      <c r="J12" s="1989"/>
      <c r="K12" s="1989"/>
      <c r="L12" s="1989"/>
      <c r="M12" s="1989"/>
      <c r="N12" s="1989"/>
      <c r="O12" s="1989"/>
      <c r="P12" s="1989"/>
      <c r="Q12" s="1989"/>
      <c r="R12" s="1973"/>
      <c r="S12" s="1973"/>
      <c r="T12" s="1973"/>
      <c r="U12" s="1973"/>
      <c r="V12" s="1973"/>
      <c r="W12" s="1973"/>
    </row>
    <row r="13" spans="1:23">
      <c r="A13" s="1969" t="s">
        <v>1085</v>
      </c>
      <c r="B13" s="1990" t="s">
        <v>1086</v>
      </c>
      <c r="C13" s="1969" t="s">
        <v>1087</v>
      </c>
      <c r="D13" s="1991" t="s">
        <v>16</v>
      </c>
      <c r="E13" s="1991" t="s">
        <v>1088</v>
      </c>
      <c r="F13" s="1992"/>
      <c r="G13" s="1991"/>
      <c r="H13" s="1991"/>
      <c r="I13" s="1993">
        <v>20587399.807673801</v>
      </c>
      <c r="J13" s="1994"/>
      <c r="K13" s="1993"/>
      <c r="L13" s="1993"/>
      <c r="M13" s="1993">
        <v>-1083459.8336459403</v>
      </c>
      <c r="N13" s="1993"/>
      <c r="O13" s="1993"/>
      <c r="P13" s="1995">
        <f>SUM(I13:O13)</f>
        <v>19503939.974027861</v>
      </c>
      <c r="Q13" s="1994"/>
      <c r="R13" s="1997" t="s">
        <v>651</v>
      </c>
      <c r="S13" s="2011"/>
      <c r="T13" s="1973"/>
      <c r="U13" s="1973"/>
      <c r="V13" s="1973"/>
      <c r="W13" s="1973"/>
    </row>
    <row r="14" spans="1:23" ht="24">
      <c r="A14" s="1969" t="s">
        <v>1089</v>
      </c>
      <c r="B14" s="1990" t="s">
        <v>1090</v>
      </c>
      <c r="C14" s="1969" t="s">
        <v>1091</v>
      </c>
      <c r="D14" s="1991" t="s">
        <v>820</v>
      </c>
      <c r="E14" s="1991" t="s">
        <v>1088</v>
      </c>
      <c r="F14" s="1998">
        <v>-62198138</v>
      </c>
      <c r="G14" s="1999" t="s">
        <v>1092</v>
      </c>
      <c r="H14" s="1999" t="s">
        <v>1093</v>
      </c>
      <c r="I14" s="1994" t="s">
        <v>251</v>
      </c>
      <c r="J14" s="1993">
        <v>-61928465.434699997</v>
      </c>
      <c r="K14" s="1993"/>
      <c r="L14" s="1993"/>
      <c r="M14" s="1993"/>
      <c r="N14" s="1993">
        <v>168051.87440001592</v>
      </c>
      <c r="O14" s="1993">
        <v>-872230</v>
      </c>
      <c r="P14" s="2001" t="s">
        <v>251</v>
      </c>
      <c r="Q14" s="2002">
        <f>SUM(J14:O14)</f>
        <v>-62632643.560299978</v>
      </c>
      <c r="R14" s="2003" t="s">
        <v>1094</v>
      </c>
      <c r="S14" s="2011"/>
      <c r="T14" s="1973"/>
      <c r="U14" s="1973"/>
      <c r="V14" s="1973"/>
      <c r="W14" s="1973"/>
    </row>
    <row r="15" spans="1:23" ht="24">
      <c r="A15" s="1969" t="s">
        <v>1095</v>
      </c>
      <c r="B15" s="1990" t="s">
        <v>1090</v>
      </c>
      <c r="C15" s="1969" t="s">
        <v>1091</v>
      </c>
      <c r="D15" s="1991" t="s">
        <v>819</v>
      </c>
      <c r="E15" s="1991" t="s">
        <v>1088</v>
      </c>
      <c r="F15" s="2004">
        <v>-1190338</v>
      </c>
      <c r="G15" s="1999" t="s">
        <v>1096</v>
      </c>
      <c r="H15" s="1999" t="s">
        <v>1097</v>
      </c>
      <c r="I15" s="1994"/>
      <c r="J15" s="1993">
        <v>-422973.55048626265</v>
      </c>
      <c r="K15" s="1993"/>
      <c r="L15" s="1993"/>
      <c r="M15" s="1993"/>
      <c r="N15" s="1993">
        <v>-422975.31614062301</v>
      </c>
      <c r="O15" s="1993">
        <v>0</v>
      </c>
      <c r="P15" s="2001"/>
      <c r="Q15" s="2002">
        <f>SUM(J15:O15)</f>
        <v>-845948.86662688572</v>
      </c>
      <c r="R15" s="2003" t="s">
        <v>1098</v>
      </c>
      <c r="S15" s="2011"/>
      <c r="T15" s="1973"/>
      <c r="U15" s="1973"/>
      <c r="V15" s="1973"/>
      <c r="W15" s="1973"/>
    </row>
    <row r="16" spans="1:23">
      <c r="A16" s="1969" t="s">
        <v>1099</v>
      </c>
      <c r="B16" s="1990" t="s">
        <v>1100</v>
      </c>
      <c r="C16" s="1969" t="s">
        <v>1101</v>
      </c>
      <c r="D16" s="1991" t="s">
        <v>820</v>
      </c>
      <c r="E16" s="1991" t="s">
        <v>1088</v>
      </c>
      <c r="F16" s="2004"/>
      <c r="G16" s="1999"/>
      <c r="H16" s="1999"/>
      <c r="I16" s="1993">
        <v>61928465.434699997</v>
      </c>
      <c r="J16" s="1994"/>
      <c r="K16" s="1993"/>
      <c r="L16" s="1993"/>
      <c r="M16" s="1993">
        <v>-704178.12559998408</v>
      </c>
      <c r="N16" s="1993"/>
      <c r="O16" s="1993"/>
      <c r="P16" s="1995">
        <f>SUM(I16:O16)</f>
        <v>61224287.309100017</v>
      </c>
      <c r="Q16" s="1994"/>
      <c r="R16" s="1997" t="s">
        <v>1114</v>
      </c>
      <c r="S16" s="2011"/>
      <c r="T16" s="1973"/>
      <c r="U16" s="1973"/>
      <c r="V16" s="1973"/>
      <c r="W16" s="1973"/>
    </row>
    <row r="17" spans="1:23">
      <c r="A17" s="1969" t="s">
        <v>1102</v>
      </c>
      <c r="B17" s="1990" t="s">
        <v>1100</v>
      </c>
      <c r="C17" s="1969" t="s">
        <v>1101</v>
      </c>
      <c r="D17" s="1991" t="s">
        <v>819</v>
      </c>
      <c r="E17" s="1991" t="s">
        <v>1088</v>
      </c>
      <c r="F17" s="2004"/>
      <c r="G17" s="1999"/>
      <c r="H17" s="1999"/>
      <c r="I17" s="1993">
        <v>422973.55048626265</v>
      </c>
      <c r="J17" s="1994"/>
      <c r="K17" s="1993"/>
      <c r="L17" s="1993"/>
      <c r="M17" s="1993">
        <v>-422975.31614062301</v>
      </c>
      <c r="N17" s="1993"/>
      <c r="O17" s="1993"/>
      <c r="P17" s="1995">
        <f>SUM(I17:O17)</f>
        <v>-1.7656543603516184</v>
      </c>
      <c r="Q17" s="1994"/>
      <c r="R17" s="1997" t="s">
        <v>1114</v>
      </c>
      <c r="S17" s="2011"/>
      <c r="T17" s="1973"/>
      <c r="U17" s="1973"/>
      <c r="V17" s="1973"/>
      <c r="W17" s="1973"/>
    </row>
    <row r="18" spans="1:23" ht="24">
      <c r="A18" s="1969" t="s">
        <v>1103</v>
      </c>
      <c r="B18" s="1990" t="s">
        <v>1104</v>
      </c>
      <c r="C18" s="1969" t="s">
        <v>1105</v>
      </c>
      <c r="D18" s="1991" t="s">
        <v>819</v>
      </c>
      <c r="E18" s="1991" t="s">
        <v>1088</v>
      </c>
      <c r="F18" s="2004">
        <v>1808212</v>
      </c>
      <c r="G18" s="1999" t="s">
        <v>1096</v>
      </c>
      <c r="H18" s="1999" t="s">
        <v>1097</v>
      </c>
      <c r="I18" s="1994" t="s">
        <v>251</v>
      </c>
      <c r="J18" s="1993">
        <v>2114229.6904862616</v>
      </c>
      <c r="K18" s="1993"/>
      <c r="L18" s="1993"/>
      <c r="M18" s="1993"/>
      <c r="N18" s="1993">
        <v>-1242002.1774174252</v>
      </c>
      <c r="O18" s="1993">
        <v>-872230</v>
      </c>
      <c r="P18" s="2001" t="s">
        <v>251</v>
      </c>
      <c r="Q18" s="2002">
        <f>SUM(J18:O18)</f>
        <v>-2.4869311635848135</v>
      </c>
      <c r="R18" s="2003" t="s">
        <v>1098</v>
      </c>
      <c r="S18" s="2011"/>
      <c r="T18" s="1973"/>
      <c r="U18" s="1973"/>
      <c r="V18" s="1973"/>
      <c r="W18" s="1973"/>
    </row>
    <row r="19" spans="1:23">
      <c r="A19" s="1969" t="s">
        <v>1106</v>
      </c>
      <c r="B19" s="2005" t="s">
        <v>1107</v>
      </c>
      <c r="C19" s="1969" t="s">
        <v>1108</v>
      </c>
      <c r="D19" s="1991" t="s">
        <v>819</v>
      </c>
      <c r="E19" s="1991" t="s">
        <v>1088</v>
      </c>
      <c r="F19" s="1998"/>
      <c r="G19" s="1999"/>
      <c r="H19" s="1999"/>
      <c r="I19" s="1993">
        <v>-2114231.0504862624</v>
      </c>
      <c r="J19" s="1994"/>
      <c r="K19" s="1993"/>
      <c r="L19" s="1993"/>
      <c r="M19" s="1993">
        <v>2114232.1774174254</v>
      </c>
      <c r="N19" s="1993"/>
      <c r="O19" s="1993"/>
      <c r="P19" s="1995">
        <f>SUM(I19:O19)</f>
        <v>1.1269311630167067</v>
      </c>
      <c r="Q19" s="2001"/>
      <c r="R19" s="2006" t="s">
        <v>651</v>
      </c>
      <c r="S19" s="2011"/>
      <c r="T19" s="1973"/>
      <c r="U19" s="1973"/>
      <c r="V19" s="1973"/>
      <c r="W19" s="1973"/>
    </row>
    <row r="20" spans="1:23">
      <c r="A20" s="1969" t="s">
        <v>1109</v>
      </c>
      <c r="B20" s="2005" t="s">
        <v>1176</v>
      </c>
      <c r="C20" s="2136" t="s">
        <v>1241</v>
      </c>
      <c r="D20" s="2133" t="s">
        <v>16</v>
      </c>
      <c r="E20" s="2133" t="s">
        <v>1239</v>
      </c>
      <c r="F20" s="1998"/>
      <c r="G20" s="1999"/>
      <c r="H20" s="1999"/>
      <c r="I20" s="1993">
        <v>335623.27873332798</v>
      </c>
      <c r="J20" s="1994"/>
      <c r="K20" s="1993"/>
      <c r="L20" s="1993"/>
      <c r="M20" s="1993">
        <v>13984</v>
      </c>
      <c r="N20" s="1993"/>
      <c r="O20" s="1993"/>
      <c r="P20" s="1995">
        <f>SUM(I20:O20)</f>
        <v>349607.27873332798</v>
      </c>
      <c r="Q20" s="2001"/>
      <c r="R20" s="2006" t="s">
        <v>651</v>
      </c>
      <c r="S20" s="2011"/>
      <c r="T20" s="1973"/>
      <c r="U20" s="1973"/>
      <c r="V20" s="1973"/>
      <c r="W20" s="1973"/>
    </row>
    <row r="21" spans="1:23" ht="24">
      <c r="A21" s="1969" t="s">
        <v>1177</v>
      </c>
      <c r="B21" s="2005" t="s">
        <v>1104</v>
      </c>
      <c r="C21" s="2136" t="s">
        <v>1242</v>
      </c>
      <c r="D21" s="2133" t="s">
        <v>819</v>
      </c>
      <c r="E21" s="2133" t="s">
        <v>1239</v>
      </c>
      <c r="F21" s="2134">
        <v>1762023</v>
      </c>
      <c r="G21" s="1999" t="s">
        <v>1213</v>
      </c>
      <c r="H21" s="1999"/>
      <c r="I21" s="1994"/>
      <c r="J21" s="1993">
        <v>1762023</v>
      </c>
      <c r="K21" s="1993"/>
      <c r="L21" s="1993"/>
      <c r="M21" s="1993"/>
      <c r="N21" s="1993">
        <v>0</v>
      </c>
      <c r="O21" s="1993">
        <v>0</v>
      </c>
      <c r="P21" s="2001"/>
      <c r="Q21" s="2002">
        <f>SUM(J21:O21)</f>
        <v>1762023</v>
      </c>
      <c r="R21" s="2003" t="s">
        <v>1182</v>
      </c>
      <c r="S21" s="2011"/>
      <c r="T21" s="1973"/>
      <c r="U21" s="1973"/>
      <c r="V21" s="1973"/>
      <c r="W21" s="1973"/>
    </row>
    <row r="22" spans="1:23" ht="24">
      <c r="A22" s="1969" t="s">
        <v>1178</v>
      </c>
      <c r="B22" s="2005" t="s">
        <v>1179</v>
      </c>
      <c r="C22" s="2136" t="s">
        <v>1243</v>
      </c>
      <c r="D22" s="2133" t="s">
        <v>819</v>
      </c>
      <c r="E22" s="2133" t="s">
        <v>1239</v>
      </c>
      <c r="F22" s="2134">
        <v>-8390584.721266672</v>
      </c>
      <c r="G22" s="1999" t="s">
        <v>1213</v>
      </c>
      <c r="H22" s="1999"/>
      <c r="I22" s="1994"/>
      <c r="J22" s="1993">
        <v>-8390584.721266672</v>
      </c>
      <c r="K22" s="1993"/>
      <c r="L22" s="1993"/>
      <c r="M22" s="1993"/>
      <c r="N22" s="1993">
        <v>0</v>
      </c>
      <c r="O22" s="1993">
        <v>0</v>
      </c>
      <c r="P22" s="2001"/>
      <c r="Q22" s="2002">
        <f>SUM(J22:O22)</f>
        <v>-8390584.721266672</v>
      </c>
      <c r="R22" s="2003" t="s">
        <v>1183</v>
      </c>
      <c r="S22" s="2011"/>
      <c r="T22" s="1973"/>
      <c r="U22" s="1973"/>
      <c r="V22" s="1973"/>
      <c r="W22" s="1973"/>
    </row>
    <row r="23" spans="1:23">
      <c r="A23" s="1969" t="s">
        <v>1184</v>
      </c>
      <c r="B23" s="2005" t="s">
        <v>1181</v>
      </c>
      <c r="C23" s="2136" t="s">
        <v>1244</v>
      </c>
      <c r="D23" s="2133" t="s">
        <v>819</v>
      </c>
      <c r="E23" s="2133" t="s">
        <v>1239</v>
      </c>
      <c r="F23" s="1998"/>
      <c r="G23" s="1999"/>
      <c r="H23" s="1999"/>
      <c r="I23" s="1993">
        <v>8390584.721266672</v>
      </c>
      <c r="J23" s="1994"/>
      <c r="K23" s="1993"/>
      <c r="L23" s="1993"/>
      <c r="M23" s="1993">
        <v>0</v>
      </c>
      <c r="N23" s="1993"/>
      <c r="O23" s="1993"/>
      <c r="P23" s="1995">
        <f>SUM(I23:O23)</f>
        <v>8390584.721266672</v>
      </c>
      <c r="Q23" s="2001"/>
      <c r="R23" s="2006"/>
      <c r="S23" s="2011"/>
      <c r="T23" s="1973"/>
      <c r="U23" s="1973"/>
      <c r="V23" s="1973"/>
      <c r="W23" s="1973"/>
    </row>
    <row r="24" spans="1:23">
      <c r="A24" s="1969" t="s">
        <v>1180</v>
      </c>
      <c r="B24" s="2007" t="s">
        <v>1110</v>
      </c>
      <c r="D24" s="1991"/>
      <c r="E24" s="1991"/>
      <c r="F24" s="1998"/>
      <c r="G24" s="1999"/>
      <c r="H24" s="1999"/>
      <c r="I24" s="1993"/>
      <c r="J24" s="1993"/>
      <c r="K24" s="1993"/>
      <c r="L24" s="1993"/>
      <c r="M24" s="1993"/>
      <c r="N24" s="1993"/>
      <c r="O24" s="1993"/>
      <c r="P24" s="1996"/>
      <c r="Q24" s="1995"/>
      <c r="R24" s="2008"/>
      <c r="S24" s="2011"/>
      <c r="T24" s="1973"/>
      <c r="U24" s="1973"/>
      <c r="V24" s="1973"/>
      <c r="W24" s="1973"/>
    </row>
    <row r="25" spans="1:23">
      <c r="B25" s="1969"/>
      <c r="D25" s="1991"/>
      <c r="E25" s="1991"/>
      <c r="F25" s="1998"/>
      <c r="G25" s="1999"/>
      <c r="H25" s="1999"/>
      <c r="I25" s="1973"/>
      <c r="J25" s="1973"/>
      <c r="K25" s="1973"/>
      <c r="L25" s="1973"/>
      <c r="M25" s="1973"/>
    </row>
    <row r="26" spans="1:23" s="1973" customFormat="1">
      <c r="A26" s="1969"/>
      <c r="B26" s="1987" t="s">
        <v>1111</v>
      </c>
      <c r="M26" s="2011"/>
      <c r="P26" s="2011"/>
      <c r="Q26" s="2011"/>
      <c r="R26" s="2012"/>
    </row>
    <row r="27" spans="1:23" ht="11.45" customHeight="1">
      <c r="A27" s="1969" t="s">
        <v>1112</v>
      </c>
      <c r="B27" s="2013">
        <v>182.3</v>
      </c>
      <c r="C27" s="2014" t="s">
        <v>1113</v>
      </c>
      <c r="D27" s="2000" t="s">
        <v>251</v>
      </c>
      <c r="E27" s="1991" t="s">
        <v>1088</v>
      </c>
      <c r="F27" s="2000"/>
      <c r="G27" s="2000" t="s">
        <v>251</v>
      </c>
      <c r="H27" s="2000"/>
      <c r="I27" s="2015">
        <v>-0.22999999998137355</v>
      </c>
      <c r="J27" s="2000"/>
      <c r="K27" s="1993"/>
      <c r="L27" s="1993"/>
      <c r="M27" s="1993">
        <v>0</v>
      </c>
      <c r="N27" s="2000" t="s">
        <v>251</v>
      </c>
      <c r="O27" s="2000" t="s">
        <v>251</v>
      </c>
      <c r="P27" s="1996">
        <f>SUM(I27:O27)</f>
        <v>-0.22999999998137355</v>
      </c>
      <c r="Q27" s="2016"/>
      <c r="R27" s="1997" t="s">
        <v>1114</v>
      </c>
      <c r="S27" s="1973"/>
      <c r="T27" s="1973"/>
      <c r="U27" s="1973"/>
      <c r="V27" s="1973"/>
      <c r="W27" s="1973"/>
    </row>
    <row r="28" spans="1:23" ht="11.45" customHeight="1">
      <c r="A28" s="1969" t="s">
        <v>1115</v>
      </c>
      <c r="B28" s="2013">
        <v>2544001</v>
      </c>
      <c r="C28" s="2014" t="s">
        <v>1116</v>
      </c>
      <c r="D28" s="2000" t="s">
        <v>251</v>
      </c>
      <c r="E28" s="1991" t="s">
        <v>1088</v>
      </c>
      <c r="F28" s="2000"/>
      <c r="G28" s="2000" t="s">
        <v>251</v>
      </c>
      <c r="H28" s="2000"/>
      <c r="I28" s="2015">
        <v>-80824608.51237379</v>
      </c>
      <c r="J28" s="2000"/>
      <c r="K28" s="1993"/>
      <c r="L28" s="1993"/>
      <c r="M28" s="1993">
        <v>96381.097969121765</v>
      </c>
      <c r="N28" s="2000" t="s">
        <v>251</v>
      </c>
      <c r="O28" s="2000" t="s">
        <v>251</v>
      </c>
      <c r="P28" s="1996">
        <f>SUM(I28:O28)</f>
        <v>-80728227.414404675</v>
      </c>
      <c r="Q28" s="2016"/>
      <c r="R28" s="1997" t="s">
        <v>1114</v>
      </c>
      <c r="S28" s="1973"/>
      <c r="T28" s="1973"/>
      <c r="U28" s="1973"/>
      <c r="V28" s="1973"/>
      <c r="W28" s="1973"/>
    </row>
    <row r="29" spans="1:23" ht="11.45" customHeight="1">
      <c r="A29" s="1969" t="s">
        <v>1117</v>
      </c>
      <c r="B29" s="2013">
        <v>2544002</v>
      </c>
      <c r="C29" s="2014" t="s">
        <v>1186</v>
      </c>
      <c r="D29" s="2000"/>
      <c r="E29" s="2133" t="s">
        <v>1239</v>
      </c>
      <c r="F29" s="2000"/>
      <c r="G29" s="2000"/>
      <c r="H29" s="2000"/>
      <c r="I29" s="2015">
        <v>-8726208</v>
      </c>
      <c r="J29" s="2000"/>
      <c r="K29" s="1993"/>
      <c r="L29" s="1993"/>
      <c r="M29" s="1993">
        <v>-13984</v>
      </c>
      <c r="N29" s="2000"/>
      <c r="O29" s="2000"/>
      <c r="P29" s="1996">
        <f>SUM(I29:O29)</f>
        <v>-8740192</v>
      </c>
      <c r="Q29" s="2016"/>
      <c r="R29" s="1997" t="s">
        <v>1114</v>
      </c>
      <c r="S29" s="1973"/>
      <c r="T29" s="1973"/>
      <c r="U29" s="1973"/>
      <c r="V29" s="1973"/>
      <c r="W29" s="1973"/>
    </row>
    <row r="30" spans="1:23" ht="11.45" customHeight="1">
      <c r="A30" s="1969" t="s">
        <v>1185</v>
      </c>
      <c r="B30" s="2007" t="s">
        <v>1110</v>
      </c>
      <c r="C30" s="2014"/>
      <c r="D30" s="2000"/>
      <c r="E30" s="1991"/>
      <c r="F30" s="2000"/>
      <c r="G30" s="2000"/>
      <c r="H30" s="2000"/>
      <c r="I30" s="1993"/>
      <c r="J30" s="2000"/>
      <c r="K30" s="1993"/>
      <c r="L30" s="1993"/>
      <c r="M30" s="1993"/>
      <c r="N30" s="2000"/>
      <c r="O30" s="2000" t="s">
        <v>251</v>
      </c>
      <c r="P30" s="1996"/>
      <c r="Q30" s="2016"/>
      <c r="R30" s="1997"/>
      <c r="S30" s="1973"/>
      <c r="T30" s="1973"/>
      <c r="U30" s="1973"/>
      <c r="V30" s="1973"/>
      <c r="W30" s="1973"/>
    </row>
    <row r="31" spans="1:23">
      <c r="B31" s="2013"/>
      <c r="C31" s="2014"/>
      <c r="D31" s="1977"/>
      <c r="E31" s="1977"/>
      <c r="F31" s="1977"/>
      <c r="G31" s="1977"/>
      <c r="H31" s="1977"/>
      <c r="I31" s="1977"/>
      <c r="J31" s="1977"/>
      <c r="K31" s="1977"/>
      <c r="L31" s="1977"/>
      <c r="M31" s="1977"/>
      <c r="N31" s="1977"/>
      <c r="O31" s="1977"/>
      <c r="P31" s="1977"/>
      <c r="Q31" s="1977"/>
      <c r="R31" s="2017"/>
      <c r="S31" s="1973"/>
      <c r="T31" s="1973"/>
      <c r="U31" s="1973"/>
      <c r="V31" s="1973"/>
      <c r="W31" s="1973"/>
    </row>
    <row r="32" spans="1:23" ht="12.75" thickBot="1">
      <c r="A32" s="2018">
        <v>3</v>
      </c>
      <c r="B32" s="2229" t="str">
        <f>"Total For Accounting Entries (Sum of Lines "&amp;A13&amp;" through "&amp;A30&amp;")"</f>
        <v>Total For Accounting Entries (Sum of Lines 1a through 2d)</v>
      </c>
      <c r="C32" s="2229"/>
      <c r="D32" s="2000"/>
      <c r="E32" s="2000"/>
      <c r="F32" s="2063">
        <f>SUM(F13:F31)</f>
        <v>-68208825.721266672</v>
      </c>
      <c r="G32" s="2000"/>
      <c r="H32" s="2000"/>
      <c r="I32" s="2020">
        <f>SUM(I13:I31)</f>
        <v>-1</v>
      </c>
      <c r="J32" s="2019">
        <f>SUM(J13:J31)</f>
        <v>-66865771.015966669</v>
      </c>
      <c r="K32" s="2021">
        <f>SUM(K13:K31)</f>
        <v>0</v>
      </c>
      <c r="L32" s="2021">
        <f>SUM(L13:L31)</f>
        <v>0</v>
      </c>
      <c r="M32" s="2021">
        <f>SUM(M13:M31)</f>
        <v>0</v>
      </c>
      <c r="N32" s="2022">
        <f>-SUM(N13:N31)</f>
        <v>1496925.6191580324</v>
      </c>
      <c r="O32" s="2019">
        <f>-SUM(O13:O31)</f>
        <v>1744460</v>
      </c>
      <c r="P32" s="2021">
        <f>SUM(P13:P31)</f>
        <v>-1</v>
      </c>
      <c r="Q32" s="2019">
        <f>SUM(Q13:Q31)</f>
        <v>-70107156.635124698</v>
      </c>
      <c r="R32" s="2023"/>
      <c r="S32" s="1973"/>
      <c r="T32" s="1973"/>
      <c r="U32" s="1973"/>
      <c r="V32" s="1973"/>
      <c r="W32" s="1973"/>
    </row>
    <row r="33" spans="1:23" ht="12.75" thickTop="1">
      <c r="B33" s="2013"/>
      <c r="C33" s="2014"/>
      <c r="D33" s="1977"/>
      <c r="E33" s="1977"/>
      <c r="F33" s="1977"/>
      <c r="G33" s="1977"/>
      <c r="H33" s="1977"/>
      <c r="I33" s="2024"/>
      <c r="J33" s="2004"/>
      <c r="K33" s="2025"/>
      <c r="L33" s="2025"/>
      <c r="M33" s="2025"/>
      <c r="N33" s="2026" t="s">
        <v>1164</v>
      </c>
      <c r="O33" s="2026"/>
      <c r="P33" s="2025"/>
      <c r="Q33" s="2027"/>
      <c r="R33" s="2023"/>
      <c r="S33" s="1973"/>
      <c r="T33" s="1973"/>
      <c r="U33" s="1973"/>
      <c r="V33" s="1973"/>
      <c r="W33" s="1973"/>
    </row>
    <row r="34" spans="1:23">
      <c r="B34" s="2013"/>
      <c r="C34" s="2014"/>
      <c r="D34" s="1977"/>
      <c r="E34" s="1977"/>
      <c r="F34" s="1977"/>
      <c r="G34" s="1977"/>
      <c r="H34" s="1977"/>
      <c r="I34" s="2024"/>
      <c r="J34" s="2004"/>
      <c r="K34" s="2025"/>
      <c r="L34" s="2025"/>
      <c r="M34" s="2025"/>
      <c r="N34" s="2004"/>
      <c r="O34" s="2004"/>
      <c r="P34" s="2025"/>
      <c r="Q34" s="2027"/>
      <c r="R34" s="2023"/>
      <c r="S34" s="1973"/>
      <c r="T34" s="1973"/>
      <c r="U34" s="1973"/>
      <c r="V34" s="1973"/>
      <c r="W34" s="1973"/>
    </row>
    <row r="35" spans="1:23" ht="12.75" thickBot="1">
      <c r="A35" s="2230" t="s">
        <v>1119</v>
      </c>
      <c r="B35" s="2230"/>
      <c r="C35" s="2230"/>
      <c r="D35" s="2230"/>
      <c r="E35" s="2230"/>
      <c r="F35" s="2230"/>
      <c r="G35" s="2230"/>
      <c r="H35" s="2230"/>
      <c r="I35" s="2024"/>
      <c r="J35" s="2004"/>
      <c r="K35" s="2025"/>
      <c r="L35" s="2025"/>
      <c r="M35" s="2025"/>
      <c r="N35" s="2004"/>
      <c r="O35" s="2004"/>
      <c r="P35" s="2025"/>
      <c r="Q35" s="2027"/>
      <c r="R35" s="2023"/>
      <c r="S35" s="1973"/>
      <c r="T35" s="1973"/>
      <c r="U35" s="1973"/>
      <c r="V35" s="1973"/>
      <c r="W35" s="1973"/>
    </row>
    <row r="36" spans="1:23" ht="12.75" thickTop="1">
      <c r="A36" s="2028" t="s">
        <v>284</v>
      </c>
      <c r="B36" s="2028" t="s">
        <v>285</v>
      </c>
      <c r="C36" s="2028" t="s">
        <v>286</v>
      </c>
      <c r="D36" s="2028" t="s">
        <v>287</v>
      </c>
      <c r="E36" s="2028"/>
      <c r="F36" s="2028" t="s">
        <v>288</v>
      </c>
      <c r="G36" s="2028" t="s">
        <v>289</v>
      </c>
      <c r="H36" s="2028" t="s">
        <v>290</v>
      </c>
      <c r="I36" s="2024"/>
      <c r="J36" s="2004"/>
      <c r="K36" s="2025"/>
      <c r="L36" s="2025"/>
      <c r="M36" s="2025"/>
      <c r="N36" s="2004"/>
      <c r="O36" s="2004"/>
      <c r="P36" s="2025"/>
      <c r="Q36" s="2027"/>
      <c r="R36" s="2023"/>
      <c r="S36" s="1973"/>
      <c r="T36" s="1973"/>
      <c r="U36" s="1973"/>
      <c r="V36" s="1973"/>
      <c r="W36" s="1973"/>
    </row>
    <row r="37" spans="1:23" ht="24">
      <c r="B37" s="2029" t="s">
        <v>1073</v>
      </c>
      <c r="C37" s="2030" t="s">
        <v>1120</v>
      </c>
      <c r="D37" s="2031" t="s">
        <v>1038</v>
      </c>
      <c r="F37" s="2030" t="s">
        <v>1121</v>
      </c>
      <c r="G37" s="2030" t="s">
        <v>1165</v>
      </c>
      <c r="H37" s="2032" t="s">
        <v>1122</v>
      </c>
      <c r="I37" s="2024"/>
      <c r="J37" s="2004"/>
      <c r="K37" s="2025"/>
      <c r="L37" s="2025"/>
      <c r="M37" s="2025"/>
      <c r="N37" s="2004"/>
      <c r="O37" s="2004"/>
      <c r="P37" s="2025"/>
      <c r="Q37" s="2027"/>
      <c r="R37" s="2023"/>
      <c r="S37" s="1973"/>
      <c r="T37" s="1973"/>
      <c r="U37" s="1973"/>
      <c r="V37" s="1973"/>
      <c r="W37" s="1973"/>
    </row>
    <row r="38" spans="1:23">
      <c r="B38" s="1969"/>
      <c r="G38" s="2027"/>
      <c r="H38" s="2023"/>
      <c r="I38" s="2024"/>
      <c r="J38" s="2004"/>
      <c r="K38" s="2025"/>
      <c r="L38" s="2025"/>
      <c r="M38" s="2025"/>
      <c r="N38" s="2004"/>
      <c r="O38" s="2004"/>
      <c r="P38" s="2025"/>
      <c r="Q38" s="2027"/>
      <c r="R38" s="2023"/>
      <c r="S38" s="1973"/>
      <c r="T38" s="1973"/>
      <c r="U38" s="1973"/>
      <c r="V38" s="1973"/>
      <c r="W38" s="1973"/>
    </row>
    <row r="39" spans="1:23">
      <c r="A39" s="2033" t="s">
        <v>1123</v>
      </c>
      <c r="B39" s="1993" t="s">
        <v>1088</v>
      </c>
      <c r="C39" s="1993">
        <f>'OKT WS C-4 Excess FIT'!F20+'OKT WS C-4 Excess FIT'!G20+'OKT WS C-4 Excess FIT'!E37</f>
        <v>882045.26159293216</v>
      </c>
      <c r="D39" s="1993" t="s">
        <v>1124</v>
      </c>
      <c r="F39" s="1993">
        <f>+N32</f>
        <v>1496925.6191580324</v>
      </c>
      <c r="G39" s="1993" t="s">
        <v>1240</v>
      </c>
      <c r="H39" s="1993">
        <f>C39</f>
        <v>882045.26159293216</v>
      </c>
      <c r="I39" s="2024"/>
      <c r="J39" s="2004"/>
      <c r="K39" s="2025"/>
      <c r="L39" s="2025"/>
      <c r="M39" s="2025"/>
      <c r="N39" s="2004"/>
      <c r="O39" s="2004"/>
      <c r="P39" s="2025"/>
      <c r="Q39" s="2027"/>
      <c r="R39" s="2023"/>
      <c r="S39" s="1973"/>
      <c r="T39" s="1973"/>
      <c r="U39" s="1973"/>
      <c r="V39" s="1973"/>
      <c r="W39" s="1973"/>
    </row>
    <row r="40" spans="1:23">
      <c r="A40" s="2035" t="s">
        <v>1125</v>
      </c>
      <c r="B40" s="1993"/>
      <c r="C40" s="1993"/>
      <c r="D40" s="1993"/>
      <c r="F40" s="1993"/>
      <c r="G40" s="1993"/>
      <c r="H40" s="1993"/>
      <c r="I40" s="2024"/>
      <c r="J40" s="2004"/>
      <c r="K40" s="2025"/>
      <c r="L40" s="2025"/>
      <c r="M40" s="2025"/>
      <c r="N40" s="2004"/>
      <c r="O40" s="2004"/>
      <c r="P40" s="2025"/>
      <c r="Q40" s="2027"/>
      <c r="R40" s="2023"/>
      <c r="S40" s="1973"/>
      <c r="T40" s="1973"/>
      <c r="U40" s="1973"/>
      <c r="V40" s="1973"/>
      <c r="W40" s="1973"/>
    </row>
    <row r="41" spans="1:23">
      <c r="A41" s="2036" t="s">
        <v>1126</v>
      </c>
      <c r="B41" s="1993"/>
      <c r="C41" s="1993"/>
      <c r="D41" s="1993"/>
      <c r="F41" s="1993"/>
      <c r="G41" s="1993"/>
      <c r="H41" s="1993"/>
      <c r="I41" s="2024"/>
      <c r="J41" s="2004"/>
      <c r="K41" s="2025"/>
      <c r="L41" s="2025"/>
      <c r="M41" s="2025"/>
      <c r="N41" s="2004"/>
      <c r="O41" s="2004"/>
      <c r="P41" s="2025"/>
      <c r="Q41" s="2027"/>
      <c r="R41" s="2023"/>
      <c r="S41" s="1973"/>
      <c r="T41" s="1973"/>
      <c r="U41" s="1973"/>
      <c r="V41" s="1973"/>
      <c r="W41" s="1973"/>
    </row>
    <row r="42" spans="1:23">
      <c r="A42" s="2036" t="s">
        <v>1127</v>
      </c>
      <c r="B42" s="1993"/>
      <c r="C42" s="1993"/>
      <c r="D42" s="1993"/>
      <c r="F42" s="1993"/>
      <c r="G42" s="1993"/>
      <c r="H42" s="1993"/>
      <c r="I42" s="2024"/>
      <c r="J42" s="2004"/>
      <c r="K42" s="2025"/>
      <c r="L42" s="2025"/>
      <c r="M42" s="2025"/>
      <c r="N42" s="2004"/>
      <c r="O42" s="2004"/>
      <c r="P42" s="2025"/>
      <c r="Q42" s="2027"/>
      <c r="R42" s="2023"/>
      <c r="S42" s="1973"/>
      <c r="T42" s="1973"/>
      <c r="U42" s="1973"/>
      <c r="V42" s="1973"/>
      <c r="W42" s="1973"/>
    </row>
    <row r="43" spans="1:23">
      <c r="A43" s="2033" t="s">
        <v>1128</v>
      </c>
      <c r="B43" s="2037" t="s">
        <v>1129</v>
      </c>
      <c r="C43" s="1993"/>
      <c r="D43" s="1993"/>
      <c r="F43" s="1993"/>
      <c r="G43" s="1993"/>
      <c r="H43" s="1993"/>
      <c r="I43" s="2024"/>
      <c r="J43" s="2004"/>
      <c r="K43" s="2025"/>
      <c r="L43" s="2025"/>
      <c r="M43" s="2025"/>
      <c r="N43" s="2004"/>
      <c r="O43" s="2004"/>
      <c r="P43" s="2025"/>
      <c r="Q43" s="2027"/>
      <c r="R43" s="2023"/>
      <c r="S43" s="1973"/>
      <c r="T43" s="1973"/>
      <c r="U43" s="1973"/>
      <c r="V43" s="1973"/>
      <c r="W43" s="1973"/>
    </row>
    <row r="44" spans="1:23" ht="14.45" customHeight="1">
      <c r="A44" s="2036" t="s">
        <v>1166</v>
      </c>
      <c r="B44" s="1969" t="s">
        <v>255</v>
      </c>
      <c r="C44" s="2039">
        <f>SUM(C39:C43)</f>
        <v>882045.26159293216</v>
      </c>
      <c r="F44" s="2039">
        <f>SUM(F39:F43)</f>
        <v>1496925.6191580324</v>
      </c>
      <c r="G44" s="1937"/>
      <c r="H44" s="2039">
        <f>SUM(H39:H43)</f>
        <v>882045.26159293216</v>
      </c>
      <c r="I44" s="2231" t="s">
        <v>1167</v>
      </c>
      <c r="J44" s="2004"/>
      <c r="K44" s="2025"/>
      <c r="L44" s="2025"/>
      <c r="M44" s="2025"/>
      <c r="N44" s="2004"/>
      <c r="O44" s="2004"/>
      <c r="P44" s="2025"/>
      <c r="Q44" s="2027"/>
      <c r="R44" s="2023"/>
      <c r="S44" s="1973"/>
      <c r="T44" s="1973"/>
      <c r="U44" s="1973"/>
      <c r="V44" s="1973"/>
      <c r="W44" s="1973"/>
    </row>
    <row r="45" spans="1:23" ht="15">
      <c r="B45" s="1969"/>
      <c r="G45" s="1937"/>
      <c r="H45" s="1977"/>
      <c r="I45" s="2231"/>
      <c r="J45" s="2004"/>
      <c r="K45" s="2025"/>
      <c r="L45" s="2025"/>
      <c r="M45" s="2025"/>
      <c r="N45" s="2004"/>
      <c r="O45" s="2004"/>
      <c r="P45" s="2025"/>
      <c r="Q45" s="2027"/>
      <c r="R45" s="2023"/>
      <c r="S45" s="1973"/>
      <c r="T45" s="1973"/>
      <c r="U45" s="1973"/>
      <c r="V45" s="1973"/>
      <c r="W45" s="1973"/>
    </row>
    <row r="46" spans="1:23">
      <c r="B46" s="2013"/>
      <c r="C46" s="2014"/>
      <c r="D46" s="1977"/>
      <c r="E46" s="1977"/>
      <c r="F46" s="1977"/>
      <c r="G46" s="1977"/>
      <c r="H46" s="1977"/>
      <c r="I46" s="2024"/>
      <c r="J46" s="2004"/>
      <c r="K46" s="2025"/>
      <c r="L46" s="2025"/>
      <c r="M46" s="2025"/>
      <c r="N46" s="2004"/>
      <c r="O46" s="2004"/>
      <c r="P46" s="2025"/>
      <c r="Q46" s="2027"/>
      <c r="R46" s="2023"/>
      <c r="S46" s="1973"/>
      <c r="T46" s="1973"/>
      <c r="U46" s="1973"/>
      <c r="V46" s="1973"/>
      <c r="W46" s="1973"/>
    </row>
    <row r="47" spans="1:23">
      <c r="A47" s="1969" t="s">
        <v>1132</v>
      </c>
      <c r="B47" s="2013"/>
      <c r="C47" s="2014"/>
      <c r="D47" s="1977"/>
      <c r="E47" s="1977"/>
      <c r="F47" s="1977"/>
      <c r="G47" s="1977"/>
      <c r="H47" s="1977"/>
      <c r="I47" s="2024"/>
      <c r="J47" s="2004"/>
      <c r="K47" s="2025"/>
      <c r="L47" s="2025"/>
      <c r="M47" s="2025"/>
      <c r="N47" s="2004"/>
      <c r="O47" s="2004"/>
      <c r="P47" s="2025"/>
      <c r="Q47" s="2027"/>
      <c r="R47" s="2023"/>
      <c r="S47" s="1973"/>
      <c r="T47" s="1973"/>
      <c r="U47" s="1973"/>
      <c r="V47" s="1973"/>
      <c r="W47" s="1973"/>
    </row>
    <row r="48" spans="1:23" ht="11.45" customHeight="1">
      <c r="B48" s="2226" t="s">
        <v>1133</v>
      </c>
      <c r="C48" s="2226"/>
      <c r="D48" s="2226"/>
      <c r="E48" s="2226"/>
      <c r="F48" s="2226"/>
      <c r="G48" s="2226"/>
      <c r="H48" s="2226"/>
      <c r="I48" s="2226"/>
      <c r="J48" s="2226"/>
      <c r="K48" s="2025"/>
      <c r="L48" s="2025"/>
      <c r="M48" s="2025"/>
      <c r="N48" s="2004"/>
      <c r="O48" s="2041"/>
      <c r="P48" s="2041"/>
      <c r="Q48" s="2041"/>
      <c r="R48" s="2041"/>
      <c r="S48" s="2041"/>
      <c r="T48" s="2041"/>
      <c r="U48" s="2041"/>
      <c r="V48" s="2041"/>
      <c r="W48" s="2041"/>
    </row>
    <row r="49" spans="1:23">
      <c r="B49" s="2226"/>
      <c r="C49" s="2226"/>
      <c r="D49" s="2226"/>
      <c r="E49" s="2226"/>
      <c r="F49" s="2226"/>
      <c r="G49" s="2226"/>
      <c r="H49" s="2226"/>
      <c r="I49" s="2226"/>
      <c r="J49" s="2226"/>
      <c r="K49" s="2025"/>
      <c r="L49" s="2025"/>
      <c r="M49" s="2025"/>
      <c r="N49" s="2004"/>
      <c r="O49" s="2041"/>
      <c r="P49" s="2041"/>
      <c r="Q49" s="2041"/>
      <c r="R49" s="2041"/>
      <c r="S49" s="2041"/>
      <c r="T49" s="2041"/>
      <c r="U49" s="2041"/>
      <c r="V49" s="2041"/>
      <c r="W49" s="2041"/>
    </row>
    <row r="50" spans="1:23">
      <c r="B50" s="2226"/>
      <c r="C50" s="2226"/>
      <c r="D50" s="2226"/>
      <c r="E50" s="2226"/>
      <c r="F50" s="2226"/>
      <c r="G50" s="2226"/>
      <c r="H50" s="2226"/>
      <c r="I50" s="2226"/>
      <c r="J50" s="2226"/>
      <c r="K50" s="2025"/>
      <c r="L50" s="2025"/>
      <c r="M50" s="2025"/>
      <c r="N50" s="2004"/>
      <c r="O50" s="2041"/>
      <c r="P50" s="2041"/>
      <c r="Q50" s="2041"/>
      <c r="R50" s="2041"/>
      <c r="S50" s="2041"/>
      <c r="T50" s="2041"/>
      <c r="U50" s="2041"/>
      <c r="V50" s="2041"/>
      <c r="W50" s="2041"/>
    </row>
    <row r="51" spans="1:23">
      <c r="B51" s="1969"/>
      <c r="C51" s="2014"/>
      <c r="D51" s="1977"/>
      <c r="E51" s="1977"/>
      <c r="F51" s="1977"/>
      <c r="G51" s="1977"/>
      <c r="H51" s="1977"/>
      <c r="I51" s="2024"/>
      <c r="J51" s="2027"/>
      <c r="K51" s="2025"/>
      <c r="L51" s="2025"/>
      <c r="M51" s="2025"/>
      <c r="N51" s="2004"/>
      <c r="O51" s="2004"/>
      <c r="P51" s="2025"/>
      <c r="Q51" s="2027"/>
      <c r="R51" s="2023"/>
      <c r="S51" s="1973"/>
      <c r="T51" s="1973"/>
      <c r="U51" s="1973"/>
      <c r="V51" s="1973"/>
      <c r="W51" s="1973"/>
    </row>
    <row r="52" spans="1:23" ht="11.45" customHeight="1">
      <c r="A52" s="2042" t="s">
        <v>1134</v>
      </c>
      <c r="B52" s="2227" t="s">
        <v>1135</v>
      </c>
      <c r="C52" s="2227"/>
      <c r="D52" s="2227"/>
      <c r="E52" s="2227"/>
      <c r="F52" s="2227"/>
      <c r="G52" s="2227"/>
      <c r="H52" s="2227"/>
      <c r="I52" s="2227"/>
      <c r="J52" s="2227"/>
      <c r="K52" s="2025"/>
      <c r="L52" s="2025"/>
      <c r="M52" s="2025"/>
      <c r="N52" s="2004"/>
      <c r="O52" s="2043"/>
      <c r="P52" s="2043"/>
      <c r="Q52" s="2043"/>
      <c r="R52" s="2043"/>
      <c r="S52" s="2043"/>
      <c r="T52" s="2043"/>
      <c r="U52" s="2043"/>
      <c r="V52" s="2043"/>
      <c r="W52" s="2043"/>
    </row>
    <row r="53" spans="1:23">
      <c r="B53" s="2227"/>
      <c r="C53" s="2227"/>
      <c r="D53" s="2227"/>
      <c r="E53" s="2227"/>
      <c r="F53" s="2227"/>
      <c r="G53" s="2227"/>
      <c r="H53" s="2227"/>
      <c r="I53" s="2227"/>
      <c r="J53" s="2227"/>
      <c r="K53" s="2025"/>
      <c r="L53" s="2025"/>
      <c r="M53" s="2025"/>
      <c r="N53" s="2004"/>
      <c r="O53" s="2043"/>
      <c r="P53" s="2043"/>
      <c r="Q53" s="2043"/>
      <c r="R53" s="2043"/>
      <c r="S53" s="2043"/>
      <c r="T53" s="2043"/>
      <c r="U53" s="2043"/>
      <c r="V53" s="2043"/>
      <c r="W53" s="2043"/>
    </row>
    <row r="54" spans="1:23">
      <c r="B54" s="2227"/>
      <c r="C54" s="2227"/>
      <c r="D54" s="2227"/>
      <c r="E54" s="2227"/>
      <c r="F54" s="2227"/>
      <c r="G54" s="2227"/>
      <c r="H54" s="2227"/>
      <c r="I54" s="2227"/>
      <c r="J54" s="2227"/>
      <c r="K54" s="2025"/>
      <c r="L54" s="2025"/>
      <c r="M54" s="2025"/>
      <c r="N54" s="2004"/>
      <c r="O54" s="2043"/>
      <c r="P54" s="2043"/>
      <c r="Q54" s="2043"/>
      <c r="R54" s="2043"/>
      <c r="S54" s="2043"/>
      <c r="T54" s="2043"/>
      <c r="U54" s="2043"/>
      <c r="V54" s="2043"/>
      <c r="W54" s="2043"/>
    </row>
    <row r="55" spans="1:23">
      <c r="B55" s="2227"/>
      <c r="C55" s="2227"/>
      <c r="D55" s="2227"/>
      <c r="E55" s="2227"/>
      <c r="F55" s="2227"/>
      <c r="G55" s="2227"/>
      <c r="H55" s="2227"/>
      <c r="I55" s="2227"/>
      <c r="J55" s="2227"/>
      <c r="K55" s="2025"/>
      <c r="L55" s="2025"/>
      <c r="M55" s="2025"/>
      <c r="N55" s="2004"/>
      <c r="O55" s="2043"/>
      <c r="P55" s="2043"/>
      <c r="Q55" s="2043"/>
      <c r="R55" s="2043"/>
      <c r="S55" s="2043"/>
      <c r="T55" s="2043"/>
      <c r="U55" s="2043"/>
      <c r="V55" s="2043"/>
      <c r="W55" s="2043"/>
    </row>
    <row r="56" spans="1:23">
      <c r="B56" s="2227"/>
      <c r="C56" s="2227"/>
      <c r="D56" s="2227"/>
      <c r="E56" s="2227"/>
      <c r="F56" s="2227"/>
      <c r="G56" s="2227"/>
      <c r="H56" s="2227"/>
      <c r="I56" s="2227"/>
      <c r="J56" s="2227"/>
      <c r="K56" s="2025"/>
      <c r="L56" s="2025"/>
      <c r="M56" s="2064"/>
      <c r="N56" s="2004"/>
      <c r="O56" s="2043"/>
      <c r="P56" s="2043"/>
      <c r="Q56" s="2043"/>
      <c r="R56" s="2043"/>
      <c r="S56" s="2043"/>
      <c r="T56" s="2043"/>
      <c r="U56" s="2043"/>
      <c r="V56" s="2043"/>
      <c r="W56" s="2043"/>
    </row>
    <row r="57" spans="1:23">
      <c r="B57" s="2227"/>
      <c r="C57" s="2227"/>
      <c r="D57" s="2227"/>
      <c r="E57" s="2227"/>
      <c r="F57" s="2227"/>
      <c r="G57" s="2227"/>
      <c r="H57" s="2227"/>
      <c r="I57" s="2227"/>
      <c r="J57" s="2227"/>
      <c r="K57" s="2025"/>
      <c r="M57" s="2025"/>
      <c r="N57" s="2027"/>
      <c r="O57" s="2043"/>
      <c r="P57" s="2043"/>
      <c r="Q57" s="2043"/>
      <c r="R57" s="2043"/>
      <c r="S57" s="2043"/>
      <c r="T57" s="2043"/>
      <c r="U57" s="2043"/>
      <c r="V57" s="2043"/>
      <c r="W57" s="2043"/>
    </row>
    <row r="58" spans="1:23" ht="15" customHeight="1">
      <c r="B58" s="2044"/>
      <c r="C58" s="2044"/>
      <c r="D58" s="2044"/>
      <c r="E58" s="2044"/>
      <c r="F58" s="2044"/>
      <c r="G58" s="2044"/>
      <c r="H58" s="2044"/>
      <c r="I58" s="2044"/>
      <c r="J58" s="2044"/>
      <c r="K58" s="2044"/>
      <c r="L58" s="2046"/>
      <c r="M58" s="1972"/>
      <c r="O58" s="2043"/>
      <c r="P58" s="2043"/>
      <c r="Q58" s="2043"/>
      <c r="R58" s="2043"/>
      <c r="S58" s="2043"/>
      <c r="T58" s="2043"/>
      <c r="U58" s="2043"/>
      <c r="V58" s="2043"/>
      <c r="W58" s="2043"/>
    </row>
    <row r="59" spans="1:23">
      <c r="A59" s="1969" t="s">
        <v>1136</v>
      </c>
      <c r="B59" s="2043" t="s">
        <v>1137</v>
      </c>
      <c r="C59" s="2043"/>
      <c r="D59" s="2043"/>
      <c r="E59" s="2043"/>
      <c r="F59" s="2043"/>
      <c r="G59" s="2043"/>
      <c r="H59" s="2043"/>
      <c r="I59" s="2043"/>
      <c r="J59" s="2043"/>
      <c r="K59" s="2044"/>
      <c r="L59" s="2046"/>
      <c r="O59" s="2043"/>
      <c r="P59" s="2043"/>
      <c r="Q59" s="2043"/>
      <c r="R59" s="2043"/>
      <c r="S59" s="2043"/>
      <c r="T59" s="2043"/>
      <c r="U59" s="2043"/>
      <c r="V59" s="2043"/>
      <c r="W59" s="2043"/>
    </row>
    <row r="60" spans="1:23">
      <c r="B60" s="2043"/>
      <c r="C60" s="2043"/>
      <c r="D60" s="2043"/>
      <c r="E60" s="2043"/>
      <c r="F60" s="2043"/>
      <c r="G60" s="2043"/>
      <c r="H60" s="2043"/>
      <c r="I60" s="2043"/>
      <c r="J60" s="2044"/>
      <c r="K60" s="2044"/>
      <c r="L60" s="2046"/>
      <c r="O60" s="2043"/>
      <c r="P60" s="2043"/>
      <c r="Q60" s="2043"/>
      <c r="R60" s="2043"/>
      <c r="S60" s="2043"/>
      <c r="T60" s="2043"/>
      <c r="U60" s="2043"/>
      <c r="V60" s="2043"/>
      <c r="W60" s="2043"/>
    </row>
    <row r="61" spans="1:23" ht="12.75" customHeight="1">
      <c r="A61" s="1969" t="s">
        <v>1138</v>
      </c>
      <c r="B61" s="2232" t="s">
        <v>1139</v>
      </c>
      <c r="C61" s="2232"/>
      <c r="D61" s="2232"/>
      <c r="E61" s="2232"/>
      <c r="F61" s="2232"/>
      <c r="G61" s="2232"/>
      <c r="H61" s="2232"/>
      <c r="I61" s="2232"/>
      <c r="J61" s="2041"/>
      <c r="K61" s="2044"/>
      <c r="L61" s="2046"/>
      <c r="M61" s="1972"/>
      <c r="O61" s="2043"/>
      <c r="P61" s="2043"/>
      <c r="Q61" s="2043"/>
      <c r="R61" s="2043"/>
      <c r="S61" s="2043"/>
      <c r="T61" s="2043"/>
      <c r="U61" s="2043"/>
      <c r="V61" s="2043"/>
      <c r="W61" s="2041"/>
    </row>
    <row r="62" spans="1:23" ht="12.75" customHeight="1">
      <c r="B62" s="2232"/>
      <c r="C62" s="2232"/>
      <c r="D62" s="2232"/>
      <c r="E62" s="2232"/>
      <c r="F62" s="2232"/>
      <c r="G62" s="2232"/>
      <c r="H62" s="2232"/>
      <c r="I62" s="2232"/>
      <c r="J62" s="2041"/>
      <c r="K62" s="2044"/>
      <c r="L62" s="2046"/>
      <c r="O62" s="2043"/>
      <c r="P62" s="2043"/>
      <c r="Q62" s="2043"/>
      <c r="R62" s="2043"/>
      <c r="S62" s="2043"/>
      <c r="T62" s="2043"/>
      <c r="U62" s="2043"/>
      <c r="V62" s="2043"/>
      <c r="W62" s="2041"/>
    </row>
    <row r="63" spans="1:23">
      <c r="B63" s="2044"/>
      <c r="C63" s="2044"/>
      <c r="D63" s="2044"/>
      <c r="E63" s="2044"/>
      <c r="F63" s="2044"/>
      <c r="G63" s="2044"/>
      <c r="H63" s="2044"/>
      <c r="I63" s="2044"/>
      <c r="J63" s="2044"/>
      <c r="K63" s="2044"/>
      <c r="O63" s="2043"/>
      <c r="P63" s="2043"/>
      <c r="Q63" s="2043"/>
      <c r="R63" s="2043"/>
      <c r="S63" s="2043"/>
      <c r="T63" s="2043"/>
      <c r="U63" s="2043"/>
      <c r="V63" s="2043"/>
      <c r="W63" s="2043"/>
    </row>
    <row r="64" spans="1:23" ht="11.45" customHeight="1">
      <c r="A64" s="1969" t="s">
        <v>1140</v>
      </c>
      <c r="B64" s="2226" t="s">
        <v>1168</v>
      </c>
      <c r="C64" s="2226"/>
      <c r="D64" s="2226"/>
      <c r="E64" s="2226"/>
      <c r="F64" s="2226"/>
      <c r="G64" s="2226"/>
      <c r="H64" s="2226"/>
      <c r="I64" s="2226"/>
      <c r="J64" s="2226"/>
      <c r="K64" s="2044"/>
      <c r="O64" s="2041"/>
      <c r="P64" s="2041"/>
      <c r="Q64" s="2041"/>
      <c r="R64" s="2041"/>
      <c r="S64" s="2041"/>
      <c r="T64" s="2041"/>
      <c r="U64" s="2041"/>
      <c r="V64" s="2041"/>
      <c r="W64" s="2041"/>
    </row>
    <row r="65" spans="1:23" ht="13.5" customHeight="1">
      <c r="B65" s="2226"/>
      <c r="C65" s="2226"/>
      <c r="D65" s="2226"/>
      <c r="E65" s="2226"/>
      <c r="F65" s="2226"/>
      <c r="G65" s="2226"/>
      <c r="H65" s="2226"/>
      <c r="I65" s="2226"/>
      <c r="J65" s="2226"/>
      <c r="K65" s="2044"/>
      <c r="O65" s="2041"/>
      <c r="P65" s="2041"/>
      <c r="Q65" s="2041"/>
      <c r="R65" s="2041"/>
      <c r="S65" s="2041"/>
      <c r="T65" s="2041"/>
      <c r="U65" s="2041"/>
      <c r="V65" s="2041"/>
      <c r="W65" s="2041"/>
    </row>
    <row r="66" spans="1:23" ht="8.4499999999999993" customHeight="1">
      <c r="B66" s="2045"/>
      <c r="C66" s="2044"/>
      <c r="D66" s="2044"/>
      <c r="E66" s="2044"/>
      <c r="F66" s="2044"/>
      <c r="G66" s="2044"/>
      <c r="H66" s="2044"/>
      <c r="I66" s="2044"/>
      <c r="J66" s="2044"/>
      <c r="K66" s="2044"/>
      <c r="O66" s="2045"/>
      <c r="P66" s="2043"/>
      <c r="Q66" s="2043"/>
      <c r="R66" s="2043"/>
      <c r="S66" s="2043"/>
      <c r="T66" s="2043"/>
      <c r="U66" s="2043"/>
      <c r="V66" s="2043"/>
      <c r="W66" s="2043"/>
    </row>
    <row r="67" spans="1:23">
      <c r="A67" s="1969" t="s">
        <v>1142</v>
      </c>
      <c r="B67" s="2045" t="s">
        <v>1143</v>
      </c>
      <c r="C67" s="2044"/>
      <c r="D67" s="2044"/>
      <c r="E67" s="2044"/>
      <c r="F67" s="2044"/>
      <c r="G67" s="2044"/>
      <c r="H67" s="2044"/>
      <c r="I67" s="2044"/>
      <c r="J67" s="2044"/>
      <c r="K67" s="2044"/>
      <c r="O67" s="2045"/>
      <c r="P67" s="2043"/>
      <c r="Q67" s="2043"/>
      <c r="R67" s="2043"/>
      <c r="S67" s="2043"/>
      <c r="T67" s="2043"/>
      <c r="U67" s="2043"/>
      <c r="V67" s="2043"/>
      <c r="W67" s="2043"/>
    </row>
    <row r="68" spans="1:23" s="1988" customFormat="1" ht="5.45" customHeight="1">
      <c r="A68" s="1969"/>
      <c r="B68" s="2045"/>
      <c r="C68" s="2044"/>
      <c r="D68" s="2044"/>
      <c r="E68" s="2044"/>
      <c r="F68" s="2044"/>
      <c r="G68" s="2044"/>
      <c r="H68" s="2044"/>
      <c r="I68" s="2044"/>
      <c r="J68" s="2044"/>
      <c r="K68" s="2065"/>
      <c r="O68" s="2045"/>
      <c r="P68" s="2043"/>
      <c r="Q68" s="2043"/>
      <c r="R68" s="2043"/>
      <c r="S68" s="2043"/>
      <c r="T68" s="2043"/>
      <c r="U68" s="2043"/>
      <c r="V68" s="2043"/>
      <c r="W68" s="2043"/>
    </row>
    <row r="69" spans="1:23" s="1988" customFormat="1" ht="12.6" customHeight="1">
      <c r="A69" s="2018" t="s">
        <v>1144</v>
      </c>
      <c r="B69" s="2227" t="s">
        <v>1169</v>
      </c>
      <c r="C69" s="2227"/>
      <c r="D69" s="2227"/>
      <c r="E69" s="2227"/>
      <c r="F69" s="2227"/>
      <c r="G69" s="2227"/>
      <c r="H69" s="2227"/>
      <c r="I69" s="2227"/>
      <c r="J69" s="2044"/>
      <c r="K69" s="2065"/>
      <c r="O69" s="2043"/>
      <c r="P69" s="2043"/>
      <c r="Q69" s="2043"/>
      <c r="R69" s="2043"/>
      <c r="S69" s="2043"/>
      <c r="T69" s="2043"/>
      <c r="U69" s="2043"/>
      <c r="V69" s="2043"/>
      <c r="W69" s="2043"/>
    </row>
    <row r="70" spans="1:23">
      <c r="B70" s="2227"/>
      <c r="C70" s="2227"/>
      <c r="D70" s="2227"/>
      <c r="E70" s="2227"/>
      <c r="F70" s="2227"/>
      <c r="G70" s="2227"/>
      <c r="H70" s="2227"/>
      <c r="I70" s="2227"/>
      <c r="J70" s="2044"/>
      <c r="K70" s="2044"/>
      <c r="O70" s="2043"/>
      <c r="P70" s="2043"/>
      <c r="Q70" s="2043"/>
      <c r="R70" s="2043"/>
      <c r="S70" s="2043"/>
      <c r="T70" s="2043"/>
      <c r="U70" s="2043"/>
      <c r="V70" s="2043"/>
      <c r="W70" s="2043"/>
    </row>
    <row r="71" spans="1:23" ht="6.6" customHeight="1">
      <c r="K71" s="2044"/>
      <c r="O71" s="1970"/>
      <c r="P71" s="2046"/>
      <c r="Q71" s="2046"/>
      <c r="R71" s="2046"/>
      <c r="S71" s="2046"/>
      <c r="T71" s="2046"/>
      <c r="U71" s="2046"/>
      <c r="V71" s="2046"/>
      <c r="W71" s="2046"/>
    </row>
    <row r="72" spans="1:23" ht="11.45" customHeight="1">
      <c r="A72" s="1969" t="s">
        <v>1145</v>
      </c>
      <c r="B72" s="2227" t="s">
        <v>1170</v>
      </c>
      <c r="C72" s="2227"/>
      <c r="D72" s="2227"/>
      <c r="E72" s="2227"/>
      <c r="F72" s="2227"/>
      <c r="G72" s="2227"/>
      <c r="H72" s="2227"/>
      <c r="I72" s="2227"/>
      <c r="K72" s="2044"/>
      <c r="O72" s="2043"/>
      <c r="P72" s="2043"/>
      <c r="Q72" s="2043"/>
      <c r="R72" s="2043"/>
      <c r="S72" s="2043"/>
      <c r="T72" s="2043"/>
      <c r="U72" s="2043"/>
      <c r="V72" s="2043"/>
      <c r="W72" s="2046"/>
    </row>
    <row r="73" spans="1:23">
      <c r="B73" s="2227"/>
      <c r="C73" s="2227"/>
      <c r="D73" s="2227"/>
      <c r="E73" s="2227"/>
      <c r="F73" s="2227"/>
      <c r="G73" s="2227"/>
      <c r="H73" s="2227"/>
      <c r="I73" s="2227"/>
      <c r="K73" s="2046"/>
      <c r="O73" s="2043"/>
      <c r="P73" s="2043"/>
      <c r="Q73" s="2043"/>
      <c r="R73" s="2043"/>
      <c r="S73" s="2043"/>
      <c r="T73" s="2043"/>
      <c r="U73" s="2043"/>
      <c r="V73" s="2043"/>
      <c r="W73" s="2046"/>
    </row>
    <row r="74" spans="1:23" ht="11.45" customHeight="1">
      <c r="A74" s="2040"/>
      <c r="B74" s="2040"/>
      <c r="C74" s="2040"/>
      <c r="D74" s="2040"/>
      <c r="E74" s="2040"/>
      <c r="F74" s="2040"/>
      <c r="G74" s="2040"/>
      <c r="H74" s="2040"/>
      <c r="I74" s="2040"/>
      <c r="J74" s="2040"/>
      <c r="R74" s="1973"/>
    </row>
    <row r="75" spans="1:23" ht="12.75">
      <c r="A75" s="2040" t="s">
        <v>1147</v>
      </c>
      <c r="B75" s="2047" t="s">
        <v>1148</v>
      </c>
      <c r="C75" s="2048"/>
      <c r="D75" s="2048"/>
      <c r="E75" s="2048"/>
      <c r="F75" s="2048"/>
      <c r="G75" s="2048"/>
      <c r="H75" s="2048"/>
      <c r="I75" s="2048"/>
      <c r="J75" s="2048"/>
      <c r="R75" s="1973"/>
    </row>
    <row r="76" spans="1:23" ht="12.75">
      <c r="A76" s="2040"/>
      <c r="B76" s="1969"/>
      <c r="C76" s="2048"/>
      <c r="D76" s="2048"/>
      <c r="E76" s="2048"/>
      <c r="F76" s="2048"/>
      <c r="G76" s="2048"/>
      <c r="H76" s="2048"/>
      <c r="I76" s="2048"/>
      <c r="J76" s="2048"/>
      <c r="R76" s="1973"/>
    </row>
    <row r="77" spans="1:23" ht="12.75" customHeight="1">
      <c r="A77" s="1969" t="s">
        <v>1149</v>
      </c>
      <c r="B77" s="2228" t="s">
        <v>1150</v>
      </c>
      <c r="C77" s="2228"/>
      <c r="D77" s="2228"/>
      <c r="E77" s="2228"/>
      <c r="F77" s="2228"/>
      <c r="G77" s="2228"/>
      <c r="H77" s="2228"/>
      <c r="I77" s="2228"/>
      <c r="J77" s="2228"/>
      <c r="R77" s="1973"/>
    </row>
    <row r="78" spans="1:23">
      <c r="B78" s="2228"/>
      <c r="C78" s="2228"/>
      <c r="D78" s="2228"/>
      <c r="E78" s="2228"/>
      <c r="F78" s="2228"/>
      <c r="G78" s="2228"/>
      <c r="H78" s="2228"/>
      <c r="I78" s="2228"/>
      <c r="J78" s="2228"/>
    </row>
    <row r="82" spans="1:11">
      <c r="A82" s="2042"/>
      <c r="B82" s="2042"/>
      <c r="C82" s="2042"/>
      <c r="D82" s="2042"/>
      <c r="E82" s="2042"/>
      <c r="F82" s="2042"/>
      <c r="G82" s="2042"/>
      <c r="H82" s="2042"/>
      <c r="I82" s="2042"/>
      <c r="J82" s="2042"/>
      <c r="K82" s="2042"/>
    </row>
    <row r="83" spans="1:11">
      <c r="A83" s="2042"/>
      <c r="B83" s="2042"/>
      <c r="C83" s="2042"/>
      <c r="D83" s="2042"/>
      <c r="E83" s="2042"/>
      <c r="F83" s="2042"/>
      <c r="G83" s="2042"/>
      <c r="H83" s="2042"/>
      <c r="I83" s="2042"/>
      <c r="J83" s="2042"/>
      <c r="K83" s="2042"/>
    </row>
    <row r="84" spans="1:11">
      <c r="D84" s="2042"/>
      <c r="E84" s="2042"/>
      <c r="F84" s="2042"/>
      <c r="G84" s="2042"/>
      <c r="H84" s="2042"/>
      <c r="I84" s="2042"/>
      <c r="J84" s="2042"/>
      <c r="K84" s="2042"/>
    </row>
    <row r="85" spans="1:11">
      <c r="A85" s="2042"/>
      <c r="B85" s="2042"/>
      <c r="C85" s="2042"/>
      <c r="D85" s="2042"/>
      <c r="E85" s="2042"/>
      <c r="F85" s="2042"/>
      <c r="G85" s="2042"/>
      <c r="H85" s="2042"/>
      <c r="I85" s="2042"/>
      <c r="J85" s="2042"/>
      <c r="K85" s="2042"/>
    </row>
    <row r="86" spans="1:11">
      <c r="A86" s="2042"/>
      <c r="B86" s="2042"/>
      <c r="C86" s="2042"/>
      <c r="D86" s="2042"/>
      <c r="E86" s="2042"/>
      <c r="F86" s="2042"/>
      <c r="G86" s="2042"/>
      <c r="H86" s="2042"/>
      <c r="I86" s="2042"/>
      <c r="J86" s="2042"/>
      <c r="K86" s="2042"/>
    </row>
    <row r="87" spans="1:11">
      <c r="A87" s="2042"/>
      <c r="B87" s="2042"/>
      <c r="C87" s="2042"/>
      <c r="D87" s="2042"/>
      <c r="E87" s="2042"/>
      <c r="F87" s="2042"/>
      <c r="G87" s="2042"/>
      <c r="H87" s="2042"/>
      <c r="I87" s="2042"/>
      <c r="J87" s="2042"/>
      <c r="K87" s="2042"/>
    </row>
    <row r="88" spans="1:11">
      <c r="A88" s="2042"/>
      <c r="B88" s="2042"/>
      <c r="C88" s="2042"/>
      <c r="D88" s="2042"/>
      <c r="E88" s="2042"/>
      <c r="F88" s="2042"/>
      <c r="G88" s="2042"/>
      <c r="H88" s="2042"/>
      <c r="I88" s="2042"/>
      <c r="J88" s="2042"/>
      <c r="K88" s="2042"/>
    </row>
    <row r="89" spans="1:11">
      <c r="A89" s="2042"/>
      <c r="B89" s="2042"/>
      <c r="C89" s="2042"/>
      <c r="D89" s="2042"/>
      <c r="E89" s="2042"/>
      <c r="F89" s="2042"/>
      <c r="G89" s="2042"/>
      <c r="H89" s="2042"/>
      <c r="I89" s="2042"/>
      <c r="J89" s="2042"/>
      <c r="K89" s="2042"/>
    </row>
    <row r="90" spans="1:11">
      <c r="A90" s="2042"/>
      <c r="B90" s="2042"/>
      <c r="C90" s="2042"/>
      <c r="D90" s="2042"/>
      <c r="E90" s="2042"/>
      <c r="F90" s="2042"/>
      <c r="G90" s="2042"/>
      <c r="H90" s="2042"/>
      <c r="I90" s="2042"/>
      <c r="J90" s="2042"/>
      <c r="K90" s="2042"/>
    </row>
    <row r="91" spans="1:11">
      <c r="A91" s="2042"/>
      <c r="B91" s="2042"/>
      <c r="C91" s="2042"/>
      <c r="D91" s="2042"/>
      <c r="E91" s="2042"/>
      <c r="F91" s="2042"/>
      <c r="G91" s="2042"/>
      <c r="H91" s="2042"/>
      <c r="I91" s="2042"/>
      <c r="J91" s="2042"/>
      <c r="K91" s="2042"/>
    </row>
    <row r="92" spans="1:11">
      <c r="A92" s="2042"/>
      <c r="B92" s="2042"/>
      <c r="C92" s="2042"/>
      <c r="D92" s="2042"/>
      <c r="E92" s="2042"/>
      <c r="F92" s="2042"/>
      <c r="G92" s="2042"/>
      <c r="H92" s="2042"/>
      <c r="I92" s="2042"/>
      <c r="J92" s="2042"/>
      <c r="K92" s="2042"/>
    </row>
    <row r="99" spans="1:11">
      <c r="B99" s="2018"/>
    </row>
    <row r="100" spans="1:11">
      <c r="B100" s="2046"/>
    </row>
    <row r="101" spans="1:11">
      <c r="B101" s="2046"/>
    </row>
    <row r="102" spans="1:11">
      <c r="B102" s="2046"/>
    </row>
    <row r="103" spans="1:11">
      <c r="B103" s="2046"/>
      <c r="D103" s="1988"/>
      <c r="E103" s="1988"/>
      <c r="F103" s="1988"/>
    </row>
    <row r="104" spans="1:11">
      <c r="A104" s="2051"/>
      <c r="B104" s="2042"/>
      <c r="C104" s="2042"/>
      <c r="D104" s="2042"/>
      <c r="E104" s="2042"/>
      <c r="F104" s="2042"/>
      <c r="G104" s="2042"/>
      <c r="H104" s="2042"/>
      <c r="I104" s="2042"/>
      <c r="J104" s="2042"/>
      <c r="K104" s="2042"/>
    </row>
    <row r="105" spans="1:11">
      <c r="A105" s="2042"/>
      <c r="B105" s="2042"/>
      <c r="C105" s="2042"/>
      <c r="D105" s="2042"/>
      <c r="E105" s="2042"/>
      <c r="F105" s="2042"/>
      <c r="G105" s="2042"/>
      <c r="H105" s="2042"/>
      <c r="I105" s="2042"/>
      <c r="J105" s="2042"/>
      <c r="K105" s="2042"/>
    </row>
    <row r="106" spans="1:11">
      <c r="A106" s="2042"/>
      <c r="B106" s="2042"/>
      <c r="C106" s="2042"/>
      <c r="D106" s="2042"/>
      <c r="E106" s="2042"/>
      <c r="F106" s="2042"/>
      <c r="G106" s="2042"/>
      <c r="H106" s="2042"/>
      <c r="I106" s="2042"/>
      <c r="J106" s="2042"/>
      <c r="K106" s="2042"/>
    </row>
    <row r="107" spans="1:11">
      <c r="A107" s="2042"/>
      <c r="B107" s="2042"/>
      <c r="C107" s="2042"/>
      <c r="D107" s="2042"/>
      <c r="E107" s="2042"/>
      <c r="F107" s="2042"/>
      <c r="G107" s="2042"/>
      <c r="H107" s="2042"/>
      <c r="I107" s="2042"/>
      <c r="J107" s="2042"/>
      <c r="K107" s="2042"/>
    </row>
    <row r="108" spans="1:11">
      <c r="A108" s="2042"/>
      <c r="B108" s="2042"/>
      <c r="C108" s="2042"/>
      <c r="D108" s="2052"/>
      <c r="E108" s="2052"/>
      <c r="F108" s="2052"/>
      <c r="G108" s="2042"/>
      <c r="H108" s="2042"/>
      <c r="I108" s="2042"/>
      <c r="J108" s="2042"/>
      <c r="K108" s="2042"/>
    </row>
    <row r="109" spans="1:11">
      <c r="A109" s="2042"/>
      <c r="B109" s="2042"/>
      <c r="C109" s="2042"/>
      <c r="D109" s="2034"/>
      <c r="E109" s="2034"/>
      <c r="F109" s="2034"/>
      <c r="G109" s="2042"/>
      <c r="H109" s="2042"/>
      <c r="I109" s="2042"/>
      <c r="J109" s="2042"/>
      <c r="K109" s="2042"/>
    </row>
    <row r="110" spans="1:11">
      <c r="A110" s="2042"/>
      <c r="B110" s="2042"/>
      <c r="C110" s="2042"/>
      <c r="D110" s="2052"/>
      <c r="E110" s="2052"/>
      <c r="F110" s="2052"/>
      <c r="G110" s="2042"/>
      <c r="H110" s="2042"/>
      <c r="I110" s="2042"/>
      <c r="J110" s="2042"/>
      <c r="K110" s="2042"/>
    </row>
    <row r="111" spans="1:11">
      <c r="A111" s="2042"/>
      <c r="B111" s="2042"/>
      <c r="C111" s="2042"/>
      <c r="D111" s="2042"/>
      <c r="E111" s="2042"/>
      <c r="F111" s="2042"/>
      <c r="G111" s="2042"/>
      <c r="H111" s="2042"/>
      <c r="I111" s="2042"/>
      <c r="J111" s="2042"/>
      <c r="K111" s="2042"/>
    </row>
    <row r="112" spans="1:11">
      <c r="A112" s="2042"/>
      <c r="B112" s="2042"/>
      <c r="C112" s="2042"/>
      <c r="D112" s="2042"/>
      <c r="E112" s="2042"/>
      <c r="F112" s="2042"/>
      <c r="G112" s="2042"/>
      <c r="H112" s="2042"/>
      <c r="I112" s="2042"/>
      <c r="J112" s="2042"/>
      <c r="K112" s="2042"/>
    </row>
    <row r="113" spans="1:11">
      <c r="A113" s="2042"/>
      <c r="B113" s="2042"/>
      <c r="C113" s="2042"/>
      <c r="D113" s="2042"/>
      <c r="E113" s="2042"/>
      <c r="F113" s="2042"/>
      <c r="G113" s="2042"/>
      <c r="H113" s="2042"/>
      <c r="I113" s="2042"/>
      <c r="J113" s="2042"/>
      <c r="K113" s="2042"/>
    </row>
    <row r="114" spans="1:11">
      <c r="A114" s="2042"/>
      <c r="C114" s="2042"/>
      <c r="D114" s="2042"/>
      <c r="E114" s="2042"/>
      <c r="F114" s="2042"/>
      <c r="G114" s="2042"/>
      <c r="H114" s="2042"/>
      <c r="I114" s="2042"/>
      <c r="J114" s="2042"/>
      <c r="K114" s="2042"/>
    </row>
    <row r="115" spans="1:11">
      <c r="A115" s="2042"/>
      <c r="B115" s="2042"/>
      <c r="C115" s="2042"/>
      <c r="D115" s="2042"/>
      <c r="E115" s="2042"/>
      <c r="F115" s="2042"/>
      <c r="G115" s="2042"/>
      <c r="H115" s="2042"/>
      <c r="I115" s="2042"/>
      <c r="J115" s="2042"/>
      <c r="K115" s="2042"/>
    </row>
    <row r="116" spans="1:11">
      <c r="A116" s="2042"/>
      <c r="B116" s="2042"/>
      <c r="C116" s="2042"/>
      <c r="D116" s="2042"/>
      <c r="E116" s="2042"/>
      <c r="F116" s="2042"/>
      <c r="G116" s="2042"/>
      <c r="H116" s="2042"/>
      <c r="I116" s="2042"/>
      <c r="J116" s="2042"/>
      <c r="K116" s="2042"/>
    </row>
  </sheetData>
  <mergeCells count="15">
    <mergeCell ref="B64:J65"/>
    <mergeCell ref="B69:I70"/>
    <mergeCell ref="B72:I73"/>
    <mergeCell ref="B77:J78"/>
    <mergeCell ref="B32:C32"/>
    <mergeCell ref="A35:H35"/>
    <mergeCell ref="I44:I45"/>
    <mergeCell ref="B48:J50"/>
    <mergeCell ref="B52:J57"/>
    <mergeCell ref="B61:I62"/>
    <mergeCell ref="I9:J9"/>
    <mergeCell ref="K9:M9"/>
    <mergeCell ref="N9:O9"/>
    <mergeCell ref="P9:Q9"/>
    <mergeCell ref="P11:Q11"/>
  </mergeCells>
  <pageMargins left="0.7" right="0.7" top="0.75" bottom="0.75" header="0.3" footer="0.3"/>
  <pageSetup paperSize="5"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51"/>
  <sheetViews>
    <sheetView workbookViewId="0">
      <selection activeCell="L1" sqref="L1:L3"/>
    </sheetView>
  </sheetViews>
  <sheetFormatPr defaultColWidth="11.85546875" defaultRowHeight="12.75"/>
  <cols>
    <col min="1" max="1" width="9" style="1934" customWidth="1"/>
    <col min="2" max="2" width="15" style="1935" bestFit="1" customWidth="1"/>
    <col min="3" max="3" width="4.140625" style="1935" customWidth="1"/>
    <col min="4" max="4" width="21" style="1935" bestFit="1" customWidth="1"/>
    <col min="5" max="5" width="29.7109375" style="1935" bestFit="1" customWidth="1"/>
    <col min="6" max="6" width="15.7109375" style="1935" customWidth="1"/>
    <col min="7" max="7" width="14.7109375" style="1935" customWidth="1"/>
    <col min="8" max="8" width="14.42578125" style="1935" customWidth="1"/>
    <col min="9" max="9" width="3.5703125" style="1935" customWidth="1"/>
    <col min="10" max="10" width="19.28515625" style="1935" customWidth="1"/>
    <col min="11" max="11" width="12.85546875" style="1935" customWidth="1"/>
    <col min="12" max="13" width="15.28515625" style="1935" customWidth="1"/>
    <col min="14" max="14" width="3" style="1935" customWidth="1"/>
    <col min="15" max="15" width="14" style="1935" customWidth="1"/>
    <col min="16" max="16" width="2.7109375" style="1935" customWidth="1"/>
    <col min="17" max="17" width="19.140625" style="1935" bestFit="1" customWidth="1"/>
    <col min="18" max="18" width="3.7109375" style="1935" customWidth="1"/>
    <col min="19" max="19" width="12.5703125" style="1935" bestFit="1" customWidth="1"/>
    <col min="20" max="16384" width="11.85546875" style="1935"/>
  </cols>
  <sheetData>
    <row r="1" spans="1:24" ht="15">
      <c r="A1" s="1934" t="s">
        <v>1027</v>
      </c>
      <c r="L1" s="1936"/>
      <c r="M1" s="1937"/>
      <c r="N1" s="1937"/>
      <c r="O1" s="1937"/>
      <c r="P1" s="1937"/>
      <c r="Q1" s="1937"/>
      <c r="R1" s="1937"/>
      <c r="S1" s="1937"/>
      <c r="T1" s="1937"/>
      <c r="U1" s="1937"/>
      <c r="V1" s="1937"/>
      <c r="W1" s="1937"/>
      <c r="X1" s="1937"/>
    </row>
    <row r="2" spans="1:24" ht="15">
      <c r="A2" s="1934" t="s">
        <v>922</v>
      </c>
      <c r="L2" s="1936"/>
      <c r="M2" s="1937"/>
      <c r="N2" s="1937"/>
      <c r="O2" s="1937"/>
      <c r="P2" s="1937"/>
      <c r="Q2" s="1937"/>
      <c r="R2" s="1937"/>
      <c r="S2" s="1937"/>
      <c r="T2" s="1937"/>
      <c r="U2" s="1937"/>
      <c r="V2" s="1937"/>
      <c r="W2" s="1937"/>
      <c r="X2" s="1937"/>
    </row>
    <row r="3" spans="1:24" ht="15">
      <c r="A3" s="1934" t="s">
        <v>1029</v>
      </c>
      <c r="L3" s="1936"/>
      <c r="M3" s="1937"/>
      <c r="N3" s="1937"/>
      <c r="O3" s="1937"/>
      <c r="P3" s="1937"/>
      <c r="Q3" s="1937"/>
      <c r="R3" s="1937"/>
      <c r="S3" s="1937"/>
      <c r="T3" s="1937"/>
      <c r="U3" s="1937"/>
      <c r="V3" s="1937"/>
      <c r="W3" s="1937"/>
      <c r="X3" s="1937"/>
    </row>
    <row r="4" spans="1:24" ht="15">
      <c r="A4" s="1934" t="s">
        <v>1159</v>
      </c>
      <c r="M4" s="1937"/>
      <c r="N4" s="1937"/>
      <c r="O4" s="1937"/>
      <c r="P4" s="1937"/>
      <c r="Q4" s="1937"/>
      <c r="R4" s="1937"/>
      <c r="S4" s="1937"/>
      <c r="T4" s="1937"/>
      <c r="U4" s="1937"/>
      <c r="V4" s="1937"/>
      <c r="W4" s="1937"/>
      <c r="X4" s="1937"/>
    </row>
    <row r="5" spans="1:24" ht="15">
      <c r="A5" s="1934" t="s">
        <v>1031</v>
      </c>
      <c r="M5" s="1937"/>
      <c r="N5" s="1937"/>
      <c r="O5" s="1937"/>
      <c r="P5" s="1937"/>
      <c r="Q5" s="1937"/>
      <c r="R5" s="1937"/>
      <c r="S5" s="1937"/>
      <c r="T5" s="1937"/>
      <c r="U5" s="1937"/>
      <c r="V5" s="1937"/>
      <c r="W5" s="1937"/>
      <c r="X5" s="1937"/>
    </row>
    <row r="6" spans="1:24" ht="15">
      <c r="M6" s="1937"/>
      <c r="N6" s="1937"/>
      <c r="O6" s="1937"/>
      <c r="P6" s="1937"/>
      <c r="Q6" s="1937"/>
      <c r="R6" s="1937"/>
      <c r="S6" s="1937"/>
      <c r="T6" s="1937"/>
      <c r="U6" s="1937"/>
      <c r="V6" s="1937"/>
      <c r="W6" s="1937"/>
      <c r="X6" s="1937"/>
    </row>
    <row r="7" spans="1:24" ht="15">
      <c r="A7" s="2233" t="s">
        <v>1032</v>
      </c>
      <c r="B7" s="2233"/>
      <c r="C7" s="2233"/>
      <c r="D7" s="2233"/>
      <c r="E7" s="2233"/>
      <c r="F7" s="2233"/>
      <c r="G7" s="2233"/>
      <c r="H7" s="2233"/>
      <c r="I7" s="2233"/>
      <c r="J7" s="2233"/>
      <c r="K7" s="2233"/>
      <c r="L7" s="2233"/>
      <c r="M7" s="1937"/>
      <c r="N7" s="1937"/>
      <c r="O7" s="1937"/>
      <c r="P7" s="1937"/>
      <c r="Q7" s="1937"/>
      <c r="R7" s="1937"/>
      <c r="S7" s="1937"/>
      <c r="T7" s="1937"/>
      <c r="U7" s="1937"/>
      <c r="V7" s="1937"/>
      <c r="W7" s="1937"/>
      <c r="X7" s="1937"/>
    </row>
    <row r="8" spans="1:24" ht="15">
      <c r="K8" s="1944"/>
      <c r="L8" s="1944"/>
      <c r="M8" s="1937"/>
      <c r="N8" s="1937"/>
      <c r="O8" s="1937"/>
      <c r="P8" s="1937"/>
      <c r="Q8" s="1937"/>
      <c r="R8" s="1937"/>
      <c r="S8" s="1937"/>
      <c r="T8" s="1937"/>
      <c r="U8" s="1937"/>
      <c r="V8" s="1937"/>
      <c r="W8" s="1937"/>
      <c r="X8" s="1937"/>
    </row>
    <row r="9" spans="1:24" ht="15">
      <c r="A9" s="1938" t="s">
        <v>284</v>
      </c>
      <c r="B9" s="1939" t="s">
        <v>285</v>
      </c>
      <c r="C9" s="1939"/>
      <c r="D9" s="1939" t="s">
        <v>286</v>
      </c>
      <c r="E9" s="1939" t="s">
        <v>287</v>
      </c>
      <c r="F9" s="1940" t="s">
        <v>288</v>
      </c>
      <c r="G9" s="1939" t="s">
        <v>1033</v>
      </c>
      <c r="H9" s="1939" t="s">
        <v>290</v>
      </c>
      <c r="I9" s="1939"/>
      <c r="J9" s="1939" t="s">
        <v>1160</v>
      </c>
      <c r="K9" s="1941" t="s">
        <v>292</v>
      </c>
      <c r="L9" s="1941" t="s">
        <v>1035</v>
      </c>
      <c r="M9" s="1937"/>
      <c r="N9" s="1937"/>
      <c r="O9" s="1937"/>
      <c r="P9" s="1937"/>
      <c r="Q9" s="1937"/>
      <c r="R9" s="1937"/>
      <c r="S9" s="1937"/>
      <c r="T9" s="1937"/>
      <c r="U9" s="1937"/>
      <c r="V9" s="1937"/>
      <c r="W9" s="1937"/>
      <c r="X9" s="1937"/>
    </row>
    <row r="10" spans="1:24" ht="15.75" thickBot="1">
      <c r="D10" s="2055"/>
      <c r="E10" s="2055"/>
      <c r="F10" s="2055"/>
      <c r="G10" s="2055"/>
      <c r="H10" s="2055"/>
      <c r="I10" s="2055"/>
      <c r="J10" s="2055"/>
      <c r="K10" s="1937"/>
      <c r="L10" s="1937"/>
      <c r="M10" s="1937"/>
      <c r="N10" s="1937"/>
      <c r="O10" s="1937"/>
      <c r="P10" s="1937"/>
      <c r="Q10" s="1937"/>
      <c r="R10" s="1937"/>
      <c r="S10" s="1937"/>
      <c r="T10" s="1937"/>
      <c r="U10" s="1937"/>
      <c r="V10" s="1937"/>
      <c r="W10" s="1937"/>
      <c r="X10" s="1937"/>
    </row>
    <row r="11" spans="1:24" ht="39">
      <c r="A11" s="1934" t="s">
        <v>524</v>
      </c>
      <c r="B11" s="1935" t="s">
        <v>1036</v>
      </c>
      <c r="D11" s="1942" t="s">
        <v>1037</v>
      </c>
      <c r="E11" s="1939" t="s">
        <v>1038</v>
      </c>
      <c r="F11" s="1943" t="s">
        <v>1039</v>
      </c>
      <c r="G11" s="1943" t="s">
        <v>1040</v>
      </c>
      <c r="H11" s="1943" t="s">
        <v>1041</v>
      </c>
      <c r="I11" s="1944"/>
      <c r="J11" s="1943" t="s">
        <v>1042</v>
      </c>
      <c r="K11" s="1943" t="s">
        <v>1043</v>
      </c>
      <c r="L11" s="1943" t="s">
        <v>1161</v>
      </c>
      <c r="M11" s="1937"/>
      <c r="N11" s="1937"/>
      <c r="O11" s="1937"/>
      <c r="P11" s="1937"/>
      <c r="Q11" s="1937"/>
      <c r="R11" s="1937"/>
      <c r="S11" s="1937"/>
      <c r="T11" s="1937"/>
      <c r="U11" s="1937"/>
      <c r="V11" s="1937"/>
      <c r="W11" s="1937"/>
      <c r="X11" s="1937"/>
    </row>
    <row r="12" spans="1:24" ht="15.75">
      <c r="D12" s="1942"/>
      <c r="E12" s="1939"/>
      <c r="F12" s="1943"/>
      <c r="G12" s="1943"/>
      <c r="H12" s="1943"/>
      <c r="I12" s="1944"/>
      <c r="J12" s="1943"/>
      <c r="K12" s="1945"/>
      <c r="L12" s="1945"/>
      <c r="M12" s="1937"/>
      <c r="N12" s="1937"/>
      <c r="O12" s="1937"/>
      <c r="P12" s="1937"/>
      <c r="Q12" s="1937"/>
      <c r="R12" s="1937"/>
      <c r="S12" s="1937"/>
      <c r="T12" s="1937"/>
      <c r="U12" s="1937"/>
      <c r="V12" s="1937"/>
      <c r="W12" s="1937"/>
      <c r="X12" s="1937"/>
    </row>
    <row r="13" spans="1:24" ht="15.75">
      <c r="A13" s="1947" t="s">
        <v>1045</v>
      </c>
      <c r="D13" s="1942"/>
      <c r="E13" s="1939"/>
      <c r="F13" s="1943"/>
      <c r="G13" s="1943"/>
      <c r="H13" s="1943"/>
      <c r="I13" s="1944"/>
      <c r="J13" s="1943"/>
      <c r="K13" s="1945"/>
      <c r="L13" s="1945"/>
      <c r="M13" s="1937"/>
      <c r="N13" s="1937"/>
      <c r="O13" s="1937"/>
      <c r="P13" s="1937"/>
      <c r="Q13" s="1937"/>
      <c r="R13" s="1937"/>
      <c r="S13" s="1937"/>
      <c r="T13" s="1937"/>
      <c r="U13" s="1937"/>
      <c r="V13" s="1937"/>
      <c r="W13" s="1937"/>
      <c r="X13" s="1937"/>
    </row>
    <row r="14" spans="1:24" ht="15">
      <c r="D14" s="1949"/>
      <c r="E14" s="1949"/>
      <c r="F14" s="1949"/>
      <c r="G14" s="1949"/>
      <c r="H14" s="1949"/>
      <c r="I14" s="1949"/>
      <c r="J14" s="1949"/>
      <c r="K14" s="1949"/>
      <c r="L14" s="1949"/>
      <c r="M14" s="1937"/>
      <c r="N14" s="1937"/>
      <c r="O14" s="1937"/>
      <c r="P14" s="1937"/>
      <c r="Q14" s="1937"/>
      <c r="R14" s="1937"/>
      <c r="S14" s="1937"/>
      <c r="T14" s="1937"/>
      <c r="U14" s="1937"/>
      <c r="V14" s="1937"/>
      <c r="W14" s="1937"/>
      <c r="X14" s="1937"/>
    </row>
    <row r="15" spans="1:24" ht="12.6" customHeight="1">
      <c r="A15" s="1950">
        <v>1</v>
      </c>
      <c r="B15" s="1951" t="s">
        <v>1162</v>
      </c>
      <c r="D15" s="1949">
        <v>28589831</v>
      </c>
      <c r="E15" s="1949" t="s">
        <v>1046</v>
      </c>
      <c r="F15" s="1944"/>
      <c r="G15" s="1944"/>
      <c r="H15" s="1944"/>
      <c r="I15" s="1944"/>
      <c r="J15" s="1944"/>
      <c r="K15" s="1949"/>
      <c r="L15" s="1949"/>
      <c r="M15" s="1937"/>
      <c r="N15" s="1937"/>
      <c r="O15" s="1937"/>
      <c r="P15" s="1937"/>
      <c r="Q15" s="1937"/>
      <c r="R15" s="1937"/>
      <c r="S15" s="1937"/>
      <c r="T15" s="1937"/>
      <c r="U15" s="1937"/>
      <c r="V15" s="1937"/>
      <c r="W15" s="1937"/>
      <c r="X15" s="1937"/>
    </row>
    <row r="16" spans="1:24" ht="15">
      <c r="A16" s="1950">
        <f>+A15+1</f>
        <v>2</v>
      </c>
      <c r="B16" s="1951"/>
      <c r="D16" s="2056">
        <v>17812796.73</v>
      </c>
      <c r="E16" s="1949" t="s">
        <v>1051</v>
      </c>
      <c r="F16" s="1962"/>
      <c r="G16" s="1941"/>
      <c r="H16" s="1962"/>
      <c r="I16" s="1962"/>
      <c r="J16" s="1962"/>
      <c r="K16" s="1949"/>
      <c r="L16" s="1949"/>
      <c r="M16" s="1937"/>
      <c r="N16" s="1937"/>
      <c r="O16" s="1937"/>
      <c r="P16" s="1937"/>
      <c r="Q16" s="1937"/>
      <c r="R16" s="1937"/>
      <c r="S16" s="1937"/>
      <c r="T16" s="1937"/>
      <c r="U16" s="1937"/>
      <c r="V16" s="1937"/>
      <c r="W16" s="1937"/>
      <c r="X16" s="1937"/>
    </row>
    <row r="17" spans="1:24" ht="15">
      <c r="A17" s="1950">
        <f>++A16+1</f>
        <v>3</v>
      </c>
      <c r="B17" s="1951" t="s">
        <v>586</v>
      </c>
      <c r="D17" s="1949">
        <f>+D15-D16</f>
        <v>10777034.27</v>
      </c>
      <c r="E17" s="1949"/>
      <c r="F17" s="1949">
        <v>4302003.32</v>
      </c>
      <c r="G17" s="2057">
        <f>+F17/D17</f>
        <v>0.39918248492309938</v>
      </c>
      <c r="H17" s="1949">
        <f>-F17</f>
        <v>-4302003.32</v>
      </c>
      <c r="I17" s="1949"/>
      <c r="J17" s="1949">
        <f>+F17+H17</f>
        <v>0</v>
      </c>
      <c r="K17" s="1949"/>
      <c r="L17" s="1949">
        <f>+D17-J17</f>
        <v>10777034.27</v>
      </c>
      <c r="M17" s="1937"/>
      <c r="N17" s="1937"/>
      <c r="O17" s="1937"/>
      <c r="P17" s="1937"/>
      <c r="Q17" s="1937"/>
      <c r="R17" s="1937"/>
      <c r="S17" s="1937"/>
      <c r="T17" s="1937"/>
      <c r="U17" s="1937"/>
      <c r="V17" s="1937"/>
      <c r="W17" s="1937"/>
      <c r="X17" s="1937"/>
    </row>
    <row r="18" spans="1:24" ht="12.6" customHeight="1">
      <c r="A18" s="1950"/>
      <c r="B18" s="1951"/>
      <c r="D18" s="1949"/>
      <c r="E18" s="1949"/>
      <c r="F18" s="1955"/>
      <c r="G18" s="2057"/>
      <c r="H18" s="1949"/>
      <c r="I18" s="1949"/>
      <c r="J18" s="1949"/>
      <c r="K18" s="1949"/>
      <c r="L18" s="1949"/>
      <c r="M18" s="1937"/>
      <c r="N18" s="1937"/>
      <c r="O18" s="1937"/>
      <c r="P18" s="1937"/>
      <c r="Q18" s="1937"/>
      <c r="R18" s="1937"/>
      <c r="S18" s="1937"/>
      <c r="T18" s="1937"/>
      <c r="U18" s="1937"/>
      <c r="V18" s="1937"/>
      <c r="W18" s="1937"/>
      <c r="X18" s="1937"/>
    </row>
    <row r="19" spans="1:24" ht="12.6" customHeight="1">
      <c r="A19" s="1950">
        <f>+A17+1</f>
        <v>4</v>
      </c>
      <c r="B19" s="1951" t="s">
        <v>584</v>
      </c>
      <c r="D19" s="1949">
        <v>-158471190.22</v>
      </c>
      <c r="E19" s="1949" t="s">
        <v>1047</v>
      </c>
      <c r="F19" s="1949">
        <v>-63388476.079999998</v>
      </c>
      <c r="G19" s="2057">
        <f>+F19/D19</f>
        <v>0.39999999994951763</v>
      </c>
      <c r="H19" s="1949"/>
      <c r="I19" s="1949"/>
      <c r="J19" s="1949"/>
      <c r="K19" s="1949"/>
      <c r="L19" s="1949"/>
      <c r="M19" s="1937"/>
      <c r="N19" s="1937"/>
      <c r="O19" s="1937"/>
      <c r="P19" s="1937"/>
      <c r="Q19" s="1937"/>
      <c r="R19" s="1937"/>
      <c r="S19" s="1937"/>
      <c r="T19" s="1937"/>
      <c r="U19" s="1937"/>
      <c r="V19" s="1937"/>
      <c r="W19" s="1937"/>
      <c r="X19" s="1937"/>
    </row>
    <row r="20" spans="1:24" ht="12.6" customHeight="1">
      <c r="A20" s="1950">
        <f>+A19+1</f>
        <v>5</v>
      </c>
      <c r="B20" s="1951"/>
      <c r="D20" s="1949"/>
      <c r="E20" s="1949" t="s">
        <v>1048</v>
      </c>
      <c r="F20" s="1949">
        <v>-62198138</v>
      </c>
      <c r="G20" s="2057"/>
      <c r="H20" s="1949"/>
      <c r="I20" s="1949"/>
      <c r="J20" s="1949">
        <f>+F20+H20</f>
        <v>-62198138</v>
      </c>
      <c r="K20" s="1949" t="s">
        <v>820</v>
      </c>
      <c r="L20" s="1949">
        <f>+D19-J20-J21</f>
        <v>-95082714.140000001</v>
      </c>
      <c r="M20" s="1937"/>
      <c r="N20" s="1937"/>
      <c r="O20" s="1937"/>
      <c r="P20" s="1937"/>
      <c r="Q20" s="1937"/>
      <c r="R20" s="1937"/>
      <c r="S20" s="1937"/>
      <c r="T20" s="1937"/>
      <c r="U20" s="1937"/>
      <c r="V20" s="1937"/>
      <c r="W20" s="1937"/>
      <c r="X20" s="1937"/>
    </row>
    <row r="21" spans="1:24" ht="12.6" customHeight="1">
      <c r="A21" s="1950">
        <f>+A20+1</f>
        <v>6</v>
      </c>
      <c r="B21" s="1951"/>
      <c r="D21" s="1949"/>
      <c r="E21" s="1949" t="s">
        <v>1049</v>
      </c>
      <c r="F21" s="1949">
        <v>-1190338.0800000019</v>
      </c>
      <c r="G21" s="2057"/>
      <c r="H21" s="1949"/>
      <c r="I21" s="1949"/>
      <c r="J21" s="1949">
        <f>+F21+H21</f>
        <v>-1190338.0800000019</v>
      </c>
      <c r="K21" s="1949" t="s">
        <v>819</v>
      </c>
      <c r="L21" s="1949">
        <v>-924557</v>
      </c>
      <c r="M21" s="1937"/>
      <c r="N21" s="1937"/>
      <c r="O21" s="1937"/>
      <c r="P21" s="1937"/>
      <c r="Q21" s="1937"/>
      <c r="R21" s="1937"/>
      <c r="S21" s="1937"/>
      <c r="T21" s="1937"/>
      <c r="U21" s="1937"/>
      <c r="V21" s="1937"/>
      <c r="W21" s="1937"/>
      <c r="X21" s="1937"/>
    </row>
    <row r="22" spans="1:24" ht="12.6" customHeight="1">
      <c r="A22" s="1950"/>
      <c r="B22" s="1951"/>
      <c r="D22" s="1949"/>
      <c r="E22" s="1949"/>
      <c r="F22" s="1949"/>
      <c r="G22" s="2057"/>
      <c r="H22" s="1949"/>
      <c r="I22" s="1949"/>
      <c r="J22" s="1949"/>
      <c r="K22" s="1949"/>
      <c r="L22" s="1949"/>
      <c r="M22" s="1937"/>
      <c r="N22" s="1937"/>
      <c r="O22" s="1937"/>
      <c r="P22" s="1937"/>
      <c r="Q22" s="1937"/>
      <c r="R22" s="1937"/>
      <c r="S22" s="1937"/>
      <c r="T22" s="1937"/>
      <c r="U22" s="1937"/>
      <c r="V22" s="1937"/>
      <c r="W22" s="1937"/>
      <c r="X22" s="1937"/>
    </row>
    <row r="23" spans="1:24" ht="12.6" customHeight="1">
      <c r="A23" s="1950"/>
      <c r="B23" s="1951"/>
      <c r="D23" s="1949"/>
      <c r="E23" s="1949"/>
      <c r="F23" s="1949"/>
      <c r="G23" s="2058"/>
      <c r="H23" s="1949"/>
      <c r="I23" s="1949"/>
      <c r="J23" s="1949"/>
      <c r="K23" s="1949"/>
      <c r="L23" s="1949"/>
      <c r="M23" s="1937"/>
      <c r="N23" s="1937"/>
      <c r="O23" s="1937"/>
      <c r="P23" s="1937"/>
      <c r="Q23" s="1937"/>
      <c r="R23" s="1937"/>
      <c r="S23" s="1937"/>
      <c r="T23" s="1937"/>
      <c r="U23" s="1937"/>
      <c r="V23" s="1937"/>
      <c r="W23" s="1937"/>
      <c r="X23" s="1937"/>
    </row>
    <row r="24" spans="1:24" ht="12.6" customHeight="1">
      <c r="A24" s="1950">
        <f>+A21+1</f>
        <v>7</v>
      </c>
      <c r="B24" s="1951" t="s">
        <v>585</v>
      </c>
      <c r="D24" s="1949">
        <v>-33624988</v>
      </c>
      <c r="E24" s="1949" t="s">
        <v>1050</v>
      </c>
      <c r="G24" s="2059"/>
      <c r="J24" s="1944"/>
      <c r="K24" s="1949"/>
      <c r="L24" s="1949"/>
      <c r="M24" s="1937"/>
      <c r="N24" s="1937"/>
      <c r="O24" s="1937"/>
      <c r="P24" s="1937"/>
      <c r="Q24" s="1937"/>
      <c r="R24" s="1937"/>
      <c r="S24" s="1937"/>
      <c r="T24" s="1937"/>
      <c r="U24" s="1937"/>
      <c r="V24" s="1937"/>
      <c r="W24" s="1937"/>
      <c r="X24" s="1937"/>
    </row>
    <row r="25" spans="1:24" ht="15">
      <c r="A25" s="1950">
        <f>+A24+1</f>
        <v>8</v>
      </c>
      <c r="B25" s="1951"/>
      <c r="D25" s="2056">
        <v>-27390510</v>
      </c>
      <c r="E25" s="1949" t="s">
        <v>1051</v>
      </c>
      <c r="F25" s="1949"/>
      <c r="G25" s="2057"/>
      <c r="H25" s="1949"/>
      <c r="I25" s="1949"/>
      <c r="J25" s="1949"/>
      <c r="K25" s="1944"/>
      <c r="L25" s="1944"/>
      <c r="M25" s="1937"/>
      <c r="N25" s="1937"/>
      <c r="O25" s="1937"/>
      <c r="P25" s="1937"/>
      <c r="Q25" s="1937"/>
      <c r="R25" s="1937"/>
      <c r="S25" s="1937"/>
      <c r="T25" s="1937"/>
      <c r="U25" s="1937"/>
      <c r="V25" s="1937"/>
      <c r="W25" s="1937"/>
      <c r="X25" s="1937"/>
    </row>
    <row r="26" spans="1:24" ht="15">
      <c r="A26" s="1950">
        <f>+A25+1</f>
        <v>9</v>
      </c>
      <c r="B26" s="1951"/>
      <c r="D26" s="1949">
        <f>+D24-D25</f>
        <v>-6234478</v>
      </c>
      <c r="E26" s="1949"/>
      <c r="F26" s="1949">
        <v>-2493791.4900000002</v>
      </c>
      <c r="G26" s="2057">
        <f>+F26/D26</f>
        <v>0.40000004651552229</v>
      </c>
      <c r="H26" s="1949">
        <f>-H17</f>
        <v>4302003.32</v>
      </c>
      <c r="I26" s="1949"/>
      <c r="J26" s="1949">
        <f>+F26+H26</f>
        <v>1808211.83</v>
      </c>
      <c r="K26" s="1949" t="s">
        <v>819</v>
      </c>
      <c r="L26" s="1949">
        <f>+D26-J26</f>
        <v>-8042689.8300000001</v>
      </c>
      <c r="M26" s="1937"/>
      <c r="N26" s="1937"/>
      <c r="O26" s="1937"/>
      <c r="P26" s="1937"/>
      <c r="Q26" s="1937"/>
      <c r="R26" s="1937"/>
      <c r="S26" s="1937"/>
      <c r="T26" s="1937"/>
      <c r="U26" s="1937"/>
      <c r="V26" s="1937"/>
      <c r="W26" s="1937"/>
      <c r="X26" s="1937"/>
    </row>
    <row r="27" spans="1:24" ht="15">
      <c r="A27" s="1950"/>
      <c r="D27" s="1949"/>
      <c r="E27" s="1949"/>
      <c r="F27" s="1949"/>
      <c r="G27" s="2058"/>
      <c r="H27" s="1949"/>
      <c r="I27" s="1949"/>
      <c r="J27" s="1949"/>
      <c r="K27" s="1937"/>
      <c r="L27" s="1944"/>
      <c r="M27" s="1937"/>
      <c r="N27" s="1937"/>
      <c r="O27" s="1937"/>
      <c r="P27" s="1937"/>
      <c r="Q27" s="1937"/>
      <c r="R27" s="1937"/>
      <c r="S27" s="1937"/>
      <c r="T27" s="1937"/>
      <c r="U27" s="1937"/>
      <c r="V27" s="1937"/>
      <c r="W27" s="1937"/>
      <c r="X27" s="1937"/>
    </row>
    <row r="28" spans="1:24" ht="15">
      <c r="A28" s="1950">
        <f>+A26+1</f>
        <v>10</v>
      </c>
      <c r="B28" s="1935" t="s">
        <v>255</v>
      </c>
      <c r="D28" s="1959">
        <f>+D26+D19+D17</f>
        <v>-153928633.94999999</v>
      </c>
      <c r="E28" s="1949" t="s">
        <v>1163</v>
      </c>
      <c r="F28" s="1959">
        <f>+F26+F21+F20+F17</f>
        <v>-61580264.25</v>
      </c>
      <c r="G28" s="1960"/>
      <c r="H28" s="1959">
        <f>SUM(H16:H26)</f>
        <v>0</v>
      </c>
      <c r="I28" s="1949"/>
      <c r="J28" s="1959">
        <f>SUM(J16:J26)</f>
        <v>-61580264.25</v>
      </c>
      <c r="K28" s="1937"/>
      <c r="L28" s="1959">
        <f>SUM(L16:L26)</f>
        <v>-93272926.700000003</v>
      </c>
      <c r="M28" s="1937"/>
      <c r="N28" s="1937"/>
      <c r="O28" s="1937"/>
      <c r="P28" s="1937"/>
      <c r="Q28" s="1937"/>
      <c r="R28" s="1937"/>
      <c r="S28" s="1937"/>
      <c r="T28" s="1937"/>
      <c r="U28" s="1937"/>
      <c r="V28" s="1937"/>
      <c r="W28" s="1937"/>
      <c r="X28" s="1937"/>
    </row>
    <row r="29" spans="1:24" ht="15">
      <c r="A29" s="1950"/>
      <c r="D29" s="1949"/>
      <c r="E29" s="1949"/>
      <c r="F29" s="2060"/>
      <c r="G29" s="1953"/>
      <c r="H29" s="1949"/>
      <c r="I29" s="1949"/>
      <c r="J29" s="1949"/>
      <c r="K29" s="1937"/>
      <c r="L29" s="2061"/>
      <c r="M29" s="1937"/>
      <c r="N29" s="1937"/>
      <c r="O29" s="1937"/>
      <c r="P29" s="1937"/>
      <c r="Q29" s="1937"/>
      <c r="R29" s="1937"/>
      <c r="S29" s="1937"/>
      <c r="T29" s="1937"/>
      <c r="U29" s="1937"/>
      <c r="V29" s="1937"/>
      <c r="W29" s="1937"/>
      <c r="X29" s="1937"/>
    </row>
    <row r="30" spans="1:24" ht="9.9499999999999993" customHeight="1">
      <c r="K30" s="1962"/>
      <c r="L30" s="1944"/>
      <c r="M30" s="1937"/>
      <c r="N30" s="1937"/>
      <c r="O30" s="1937"/>
      <c r="P30" s="1937"/>
      <c r="Q30" s="1937"/>
      <c r="R30" s="1937"/>
      <c r="S30" s="1937"/>
      <c r="T30" s="1937"/>
      <c r="U30" s="1937"/>
      <c r="V30" s="1937"/>
      <c r="W30" s="1937"/>
      <c r="X30" s="1937"/>
    </row>
    <row r="31" spans="1:24" ht="12.75" customHeight="1">
      <c r="B31" s="2234" t="s">
        <v>1053</v>
      </c>
      <c r="C31" s="2234"/>
      <c r="D31" s="2234"/>
      <c r="E31" s="2234"/>
      <c r="F31" s="2234"/>
      <c r="G31" s="2234"/>
      <c r="H31" s="2234"/>
      <c r="I31" s="2234"/>
      <c r="J31" s="2234"/>
      <c r="K31" s="2234"/>
      <c r="L31" s="1944"/>
      <c r="M31" s="1937"/>
      <c r="N31" s="1937"/>
      <c r="O31" s="1937"/>
      <c r="P31" s="1937"/>
      <c r="Q31" s="1937"/>
      <c r="R31" s="1937"/>
      <c r="S31" s="1937"/>
      <c r="T31" s="1937"/>
      <c r="U31" s="1937"/>
      <c r="V31" s="1937"/>
      <c r="W31" s="1937"/>
      <c r="X31" s="1937"/>
    </row>
    <row r="32" spans="1:24" ht="12.75" customHeight="1">
      <c r="B32" s="2234"/>
      <c r="C32" s="2234"/>
      <c r="D32" s="2234"/>
      <c r="E32" s="2234"/>
      <c r="F32" s="2234"/>
      <c r="G32" s="2234"/>
      <c r="H32" s="2234"/>
      <c r="I32" s="2234"/>
      <c r="J32" s="2234"/>
      <c r="K32" s="2234"/>
      <c r="L32" s="1944"/>
      <c r="M32" s="1937"/>
      <c r="N32" s="1937"/>
      <c r="O32" s="1937"/>
      <c r="P32" s="1937"/>
      <c r="Q32" s="1937"/>
      <c r="R32" s="1937"/>
      <c r="S32" s="1937"/>
      <c r="T32" s="1937"/>
      <c r="U32" s="1937"/>
      <c r="V32" s="1937"/>
      <c r="W32" s="1937"/>
      <c r="X32" s="1937"/>
    </row>
    <row r="33" spans="1:24" ht="12.75" customHeight="1">
      <c r="B33" s="2234"/>
      <c r="C33" s="2234"/>
      <c r="D33" s="2234"/>
      <c r="E33" s="2234"/>
      <c r="F33" s="2234"/>
      <c r="G33" s="2234"/>
      <c r="H33" s="2234"/>
      <c r="I33" s="2234"/>
      <c r="J33" s="2234"/>
      <c r="K33" s="2234"/>
      <c r="L33" s="1944"/>
      <c r="M33" s="1937"/>
      <c r="N33" s="1937"/>
      <c r="O33" s="1937"/>
      <c r="P33" s="1937"/>
      <c r="Q33" s="1937"/>
      <c r="R33" s="1937"/>
      <c r="S33" s="1937"/>
      <c r="T33" s="1937"/>
      <c r="U33" s="1937"/>
      <c r="V33" s="1937"/>
      <c r="W33" s="1937"/>
      <c r="X33" s="1937"/>
    </row>
    <row r="34" spans="1:24" ht="12.75" customHeight="1">
      <c r="K34" s="1962"/>
      <c r="L34" s="1944"/>
      <c r="M34" s="1937"/>
      <c r="N34" s="1937"/>
      <c r="O34" s="1937"/>
      <c r="P34" s="1937"/>
      <c r="Q34" s="1937"/>
      <c r="R34" s="1937"/>
      <c r="S34" s="1937"/>
      <c r="T34" s="1937"/>
      <c r="U34" s="1937"/>
      <c r="V34" s="1937"/>
      <c r="W34" s="1937"/>
      <c r="X34" s="1937"/>
    </row>
    <row r="35" spans="1:24" ht="12.75" customHeight="1">
      <c r="A35" s="1963" t="s">
        <v>1054</v>
      </c>
      <c r="B35" s="2232" t="s">
        <v>1055</v>
      </c>
      <c r="C35" s="2232"/>
      <c r="D35" s="2232"/>
      <c r="E35" s="2232"/>
      <c r="F35" s="2232"/>
      <c r="G35" s="2232"/>
      <c r="H35" s="2232"/>
      <c r="I35" s="2232"/>
      <c r="J35" s="2232"/>
      <c r="K35" s="2232"/>
      <c r="L35" s="2232"/>
      <c r="M35" s="1937"/>
      <c r="N35" s="1937"/>
      <c r="O35" s="1937"/>
      <c r="P35" s="1937"/>
      <c r="Q35" s="1937"/>
      <c r="R35" s="1937"/>
      <c r="S35" s="1937"/>
      <c r="T35" s="1937"/>
      <c r="U35" s="1937"/>
      <c r="V35" s="1937"/>
      <c r="W35" s="1937"/>
      <c r="X35" s="1937"/>
    </row>
    <row r="36" spans="1:24" ht="12.75" customHeight="1">
      <c r="A36" s="1964"/>
      <c r="B36" s="2232"/>
      <c r="C36" s="2232"/>
      <c r="D36" s="2232"/>
      <c r="E36" s="2232"/>
      <c r="F36" s="2232"/>
      <c r="G36" s="2232"/>
      <c r="H36" s="2232"/>
      <c r="I36" s="2232"/>
      <c r="J36" s="2232"/>
      <c r="K36" s="2232"/>
      <c r="L36" s="2232"/>
      <c r="M36" s="1937"/>
      <c r="N36" s="1937"/>
      <c r="O36" s="1937"/>
      <c r="P36" s="1937"/>
      <c r="Q36" s="1937"/>
      <c r="R36" s="1937"/>
      <c r="S36" s="1937"/>
      <c r="T36" s="1937"/>
      <c r="U36" s="1937"/>
      <c r="V36" s="1937"/>
      <c r="W36" s="1937"/>
      <c r="X36" s="1937"/>
    </row>
    <row r="37" spans="1:24" ht="12.75" customHeight="1">
      <c r="K37" s="1946"/>
      <c r="L37" s="1948"/>
      <c r="M37" s="1937"/>
      <c r="N37" s="1937"/>
      <c r="O37" s="1937"/>
      <c r="P37" s="1937"/>
      <c r="Q37" s="1937"/>
      <c r="R37" s="1937"/>
      <c r="S37" s="1937"/>
      <c r="T37" s="1937"/>
      <c r="U37" s="1937"/>
      <c r="V37" s="1937"/>
      <c r="W37" s="1937"/>
      <c r="X37" s="1937"/>
    </row>
    <row r="38" spans="1:24" ht="12.6" customHeight="1">
      <c r="A38" s="1935"/>
      <c r="K38" s="1946"/>
      <c r="L38" s="1948"/>
      <c r="M38" s="1937"/>
      <c r="N38" s="1937"/>
      <c r="O38" s="1937"/>
      <c r="P38" s="1937"/>
      <c r="Q38" s="1937"/>
      <c r="R38" s="1937"/>
      <c r="S38" s="1937"/>
      <c r="T38" s="1937"/>
      <c r="U38" s="1937"/>
      <c r="V38" s="1937"/>
      <c r="W38" s="1937"/>
      <c r="X38" s="1937"/>
    </row>
    <row r="39" spans="1:24" ht="15">
      <c r="A39" s="1964" t="s">
        <v>1056</v>
      </c>
      <c r="B39" s="1965" t="s">
        <v>1057</v>
      </c>
      <c r="K39" s="1946"/>
      <c r="L39" s="1948"/>
      <c r="M39" s="1937"/>
      <c r="N39" s="1937"/>
      <c r="O39" s="1937"/>
      <c r="P39" s="1937"/>
      <c r="Q39" s="1937"/>
      <c r="R39" s="1937"/>
      <c r="S39" s="1937"/>
      <c r="T39" s="1937"/>
      <c r="U39" s="1937"/>
      <c r="V39" s="1937"/>
      <c r="W39" s="1937"/>
      <c r="X39" s="1937"/>
    </row>
    <row r="40" spans="1:24" ht="15">
      <c r="A40" s="1964"/>
      <c r="E40" s="1966"/>
      <c r="H40" s="1946"/>
      <c r="I40" s="1946"/>
      <c r="J40" s="1946"/>
      <c r="K40" s="1946"/>
      <c r="M40" s="1937"/>
      <c r="N40" s="1937"/>
      <c r="O40" s="1937"/>
      <c r="P40" s="1937"/>
      <c r="Q40" s="1937"/>
      <c r="R40" s="1937"/>
      <c r="S40" s="1937"/>
      <c r="T40" s="1937"/>
      <c r="U40" s="1937"/>
      <c r="V40" s="1937"/>
      <c r="W40" s="1937"/>
      <c r="X40" s="1937"/>
    </row>
    <row r="41" spans="1:24" ht="12.75" customHeight="1">
      <c r="A41" s="1967" t="s">
        <v>1058</v>
      </c>
      <c r="B41" s="1967" t="s">
        <v>1059</v>
      </c>
      <c r="C41" s="1968"/>
      <c r="D41" s="1968"/>
      <c r="E41" s="1968"/>
      <c r="F41" s="1968"/>
      <c r="G41" s="1968"/>
      <c r="H41" s="1968"/>
      <c r="I41" s="1968"/>
      <c r="J41" s="1968"/>
      <c r="K41" s="1946"/>
      <c r="L41" s="1948"/>
      <c r="M41" s="1937"/>
      <c r="N41" s="1937"/>
      <c r="O41" s="1937"/>
      <c r="P41" s="1937"/>
      <c r="Q41" s="1937"/>
      <c r="R41" s="1937"/>
      <c r="S41" s="1937"/>
      <c r="T41" s="1937"/>
      <c r="U41" s="1937"/>
      <c r="V41" s="1937"/>
      <c r="W41" s="1937"/>
      <c r="X41" s="1937"/>
    </row>
    <row r="42" spans="1:24" ht="12.75" customHeight="1">
      <c r="A42" s="1935"/>
      <c r="C42" s="1968"/>
      <c r="D42" s="1968"/>
      <c r="E42" s="1968"/>
      <c r="F42" s="1968"/>
      <c r="G42" s="1968"/>
      <c r="H42" s="1968"/>
      <c r="I42" s="1968"/>
      <c r="J42" s="1968"/>
      <c r="K42" s="1946"/>
      <c r="L42" s="1948"/>
      <c r="M42" s="1937"/>
      <c r="N42" s="1937"/>
      <c r="O42" s="1937"/>
      <c r="P42" s="1937"/>
      <c r="Q42" s="1937"/>
      <c r="R42" s="1937"/>
      <c r="S42" s="1937"/>
      <c r="T42" s="1937"/>
      <c r="U42" s="1937"/>
      <c r="V42" s="1937"/>
      <c r="W42" s="1937"/>
      <c r="X42" s="1937"/>
    </row>
    <row r="43" spans="1:24" ht="12.75" customHeight="1">
      <c r="A43" s="1935" t="s">
        <v>1060</v>
      </c>
      <c r="B43" s="1965" t="s">
        <v>1061</v>
      </c>
      <c r="C43" s="1968"/>
      <c r="D43" s="1968"/>
      <c r="E43" s="1968"/>
      <c r="F43" s="1968"/>
      <c r="G43" s="1968"/>
      <c r="H43" s="1968"/>
      <c r="I43" s="1968"/>
      <c r="J43" s="1968"/>
      <c r="K43" s="1946"/>
      <c r="L43" s="1948"/>
      <c r="M43" s="1937"/>
      <c r="N43" s="1937"/>
      <c r="O43" s="1937"/>
      <c r="P43" s="1937"/>
      <c r="Q43" s="1937"/>
      <c r="R43" s="1937"/>
      <c r="S43" s="1937"/>
      <c r="T43" s="1937"/>
      <c r="U43" s="1937"/>
      <c r="V43" s="1937"/>
      <c r="W43" s="1937"/>
      <c r="X43" s="1937"/>
    </row>
    <row r="44" spans="1:24" ht="12.75" customHeight="1">
      <c r="A44" s="1935"/>
      <c r="C44" s="1968"/>
      <c r="D44" s="1968"/>
      <c r="E44" s="1968"/>
      <c r="F44" s="1968"/>
      <c r="G44" s="1968"/>
      <c r="H44" s="1968"/>
      <c r="I44" s="1968"/>
      <c r="J44" s="1968"/>
      <c r="K44" s="1946"/>
      <c r="L44" s="1948"/>
      <c r="M44" s="1937"/>
      <c r="N44" s="1937"/>
      <c r="O44" s="1937"/>
      <c r="P44" s="1937"/>
      <c r="Q44" s="1937"/>
      <c r="R44" s="1937"/>
      <c r="S44" s="1937"/>
      <c r="T44" s="1937"/>
      <c r="U44" s="1937"/>
      <c r="V44" s="1937"/>
      <c r="W44" s="1937"/>
      <c r="X44" s="1937"/>
    </row>
    <row r="45" spans="1:24" ht="12.75" customHeight="1">
      <c r="A45" s="1968"/>
      <c r="B45" s="1968"/>
      <c r="C45" s="1968"/>
      <c r="D45" s="1968"/>
      <c r="E45" s="1968"/>
      <c r="F45" s="1968"/>
      <c r="G45" s="1968"/>
      <c r="H45" s="1968"/>
      <c r="I45" s="1968"/>
      <c r="J45" s="1968"/>
      <c r="K45" s="1946"/>
      <c r="L45" s="1948"/>
      <c r="M45" s="1937"/>
      <c r="N45" s="1937"/>
      <c r="O45" s="1937"/>
      <c r="P45" s="1937"/>
      <c r="Q45" s="1937"/>
      <c r="R45" s="1937"/>
      <c r="S45" s="1937"/>
      <c r="T45" s="1937"/>
      <c r="U45" s="1937"/>
      <c r="V45" s="1937"/>
      <c r="W45" s="1937"/>
      <c r="X45" s="1937"/>
    </row>
    <row r="46" spans="1:24" ht="12.75" customHeight="1">
      <c r="A46" s="1968"/>
      <c r="B46" s="1968"/>
      <c r="C46" s="1968"/>
      <c r="D46" s="1968"/>
      <c r="E46" s="1968"/>
      <c r="F46" s="1968"/>
      <c r="G46" s="1968"/>
      <c r="H46" s="1968"/>
      <c r="I46" s="1968"/>
      <c r="J46" s="1968"/>
      <c r="K46" s="1946"/>
      <c r="L46" s="1948"/>
      <c r="M46" s="1937"/>
      <c r="N46" s="1937"/>
      <c r="O46" s="1937"/>
      <c r="P46" s="1937"/>
      <c r="Q46" s="1937"/>
      <c r="R46" s="1937"/>
      <c r="S46" s="1937"/>
      <c r="T46" s="1937"/>
      <c r="U46" s="1937"/>
      <c r="V46" s="1937"/>
      <c r="W46" s="1937"/>
      <c r="X46" s="1937"/>
    </row>
    <row r="47" spans="1:24" ht="12.75" customHeight="1">
      <c r="A47" s="2062"/>
      <c r="B47" s="1946"/>
      <c r="C47" s="1946"/>
      <c r="D47" s="1946"/>
      <c r="E47" s="1946"/>
      <c r="F47" s="1946"/>
      <c r="G47" s="1946"/>
      <c r="H47" s="1946"/>
      <c r="I47" s="1946"/>
      <c r="J47" s="1946"/>
      <c r="K47" s="1946"/>
      <c r="L47" s="1948"/>
      <c r="M47" s="1937"/>
      <c r="N47" s="1937"/>
      <c r="O47" s="1937"/>
      <c r="P47" s="1937"/>
      <c r="Q47" s="1937"/>
      <c r="R47" s="1937"/>
      <c r="S47" s="1937"/>
      <c r="T47" s="1937"/>
      <c r="U47" s="1937"/>
      <c r="V47" s="1937"/>
      <c r="W47" s="1937"/>
      <c r="X47" s="1937"/>
    </row>
    <row r="48" spans="1:24" ht="12.75" customHeight="1">
      <c r="A48" s="2062"/>
      <c r="B48" s="1946"/>
      <c r="C48" s="1946"/>
      <c r="D48" s="1946"/>
      <c r="E48" s="1946"/>
      <c r="F48" s="1946"/>
      <c r="G48" s="1946"/>
      <c r="H48" s="1946"/>
      <c r="I48" s="1946"/>
      <c r="J48" s="1946"/>
      <c r="K48" s="1946"/>
      <c r="L48" s="1948"/>
      <c r="M48" s="1937"/>
      <c r="N48" s="1937"/>
      <c r="O48" s="1937"/>
      <c r="P48" s="1937"/>
      <c r="Q48" s="1937"/>
      <c r="R48" s="1937"/>
      <c r="S48" s="1937"/>
      <c r="T48" s="1937"/>
      <c r="U48" s="1937"/>
      <c r="V48" s="1937"/>
      <c r="W48" s="1937"/>
      <c r="X48" s="1937"/>
    </row>
    <row r="49" spans="1:24" ht="12.75" customHeight="1">
      <c r="A49" s="2062"/>
      <c r="B49" s="1946"/>
      <c r="C49" s="1946"/>
      <c r="D49" s="1946"/>
      <c r="E49" s="1946"/>
      <c r="F49" s="1946"/>
      <c r="G49" s="1946"/>
      <c r="H49" s="1946"/>
      <c r="I49" s="1946"/>
      <c r="J49" s="1946"/>
      <c r="K49" s="1946"/>
      <c r="L49" s="1948"/>
      <c r="M49" s="1937"/>
      <c r="N49" s="1937"/>
      <c r="O49" s="1937"/>
      <c r="P49" s="1937"/>
      <c r="Q49" s="1937"/>
      <c r="R49" s="1937"/>
      <c r="S49" s="1937"/>
      <c r="T49" s="1937"/>
      <c r="U49" s="1937"/>
      <c r="V49" s="1937"/>
      <c r="W49" s="1937"/>
      <c r="X49" s="1937"/>
    </row>
    <row r="50" spans="1:24" ht="12.75" customHeight="1">
      <c r="A50" s="2062"/>
      <c r="B50" s="1946"/>
      <c r="C50" s="1946"/>
      <c r="D50" s="1946"/>
      <c r="E50" s="1946"/>
      <c r="F50" s="1946"/>
      <c r="G50" s="1946"/>
      <c r="H50" s="1946"/>
      <c r="I50" s="1946"/>
      <c r="J50" s="1946"/>
      <c r="K50" s="1946"/>
    </row>
    <row r="51" spans="1:24" ht="12.75" customHeight="1"/>
  </sheetData>
  <mergeCells count="3">
    <mergeCell ref="A7:L7"/>
    <mergeCell ref="B31:K33"/>
    <mergeCell ref="B35:L36"/>
  </mergeCells>
  <pageMargins left="0.7" right="0.7" top="0.75" bottom="0.75" header="0.3" footer="0.3"/>
  <pageSetup scale="7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85"/>
  <sheetViews>
    <sheetView topLeftCell="A20" workbookViewId="0">
      <selection activeCell="E43" sqref="E43"/>
    </sheetView>
  </sheetViews>
  <sheetFormatPr defaultColWidth="11.85546875" defaultRowHeight="12.75"/>
  <cols>
    <col min="1" max="1" width="9" style="1934" customWidth="1"/>
    <col min="2" max="2" width="15" style="1935" bestFit="1" customWidth="1"/>
    <col min="3" max="3" width="4.140625" style="1935" customWidth="1"/>
    <col min="4" max="4" width="21" style="1935" bestFit="1" customWidth="1"/>
    <col min="5" max="5" width="38.7109375" style="1935" customWidth="1"/>
    <col min="6" max="6" width="15.7109375" style="2107" customWidth="1"/>
    <col min="7" max="7" width="14.7109375" style="1935" customWidth="1"/>
    <col min="8" max="8" width="14.42578125" style="1935" customWidth="1"/>
    <col min="9" max="9" width="3.5703125" style="1935" customWidth="1"/>
    <col min="10" max="10" width="19.28515625" style="1935" customWidth="1"/>
    <col min="11" max="11" width="12.85546875" style="1935" customWidth="1"/>
    <col min="12" max="13" width="15.28515625" style="1935" customWidth="1"/>
    <col min="14" max="14" width="3" style="1935" customWidth="1"/>
    <col min="15" max="15" width="14" style="1935" customWidth="1"/>
    <col min="16" max="16" width="2.7109375" style="1935" customWidth="1"/>
    <col min="17" max="17" width="19.140625" style="1935" bestFit="1" customWidth="1"/>
    <col min="18" max="18" width="3.7109375" style="1935" customWidth="1"/>
    <col min="19" max="19" width="12.5703125" style="1935" bestFit="1" customWidth="1"/>
    <col min="20" max="16384" width="11.85546875" style="1935"/>
  </cols>
  <sheetData>
    <row r="1" spans="1:24" ht="15">
      <c r="A1" s="1934" t="s">
        <v>1027</v>
      </c>
      <c r="L1" s="1936"/>
      <c r="M1" s="2085"/>
      <c r="N1" s="2085"/>
      <c r="O1" s="2085"/>
      <c r="P1" s="2085"/>
      <c r="Q1" s="2085"/>
      <c r="R1" s="2085"/>
      <c r="S1" s="2085"/>
      <c r="T1" s="2085"/>
      <c r="U1" s="2085"/>
      <c r="V1" s="2085"/>
      <c r="W1" s="2085"/>
      <c r="X1" s="2085"/>
    </row>
    <row r="2" spans="1:24" ht="15">
      <c r="A2" s="1934" t="s">
        <v>922</v>
      </c>
      <c r="L2" s="1936"/>
      <c r="M2" s="2085"/>
      <c r="N2" s="2085"/>
      <c r="O2" s="2085"/>
      <c r="P2" s="2085"/>
      <c r="Q2" s="2085"/>
      <c r="R2" s="2085"/>
      <c r="S2" s="2085"/>
      <c r="T2" s="2085"/>
      <c r="U2" s="2085"/>
      <c r="V2" s="2085"/>
      <c r="W2" s="2085"/>
      <c r="X2" s="2085"/>
    </row>
    <row r="3" spans="1:24" ht="15">
      <c r="A3" s="1934" t="s">
        <v>1029</v>
      </c>
      <c r="L3" s="1936"/>
      <c r="M3" s="2085"/>
      <c r="N3" s="2085"/>
      <c r="O3" s="2085"/>
      <c r="P3" s="2085"/>
      <c r="Q3" s="2085"/>
      <c r="R3" s="2085"/>
      <c r="S3" s="2085"/>
      <c r="T3" s="2085"/>
      <c r="U3" s="2085"/>
      <c r="V3" s="2085"/>
      <c r="W3" s="2085"/>
      <c r="X3" s="2085"/>
    </row>
    <row r="4" spans="1:24" ht="15">
      <c r="A4" s="1934" t="s">
        <v>1159</v>
      </c>
      <c r="M4" s="2085"/>
      <c r="N4" s="2085"/>
      <c r="O4" s="2085"/>
      <c r="P4" s="2085"/>
      <c r="Q4" s="2085"/>
      <c r="R4" s="2085"/>
      <c r="S4" s="2085"/>
      <c r="T4" s="2085"/>
      <c r="U4" s="2085"/>
      <c r="V4" s="2085"/>
      <c r="W4" s="2085"/>
      <c r="X4" s="2085"/>
    </row>
    <row r="5" spans="1:24" ht="15">
      <c r="A5" s="1934" t="s">
        <v>1031</v>
      </c>
      <c r="M5" s="2085"/>
      <c r="N5" s="2085"/>
      <c r="O5" s="2085"/>
      <c r="P5" s="2085"/>
      <c r="Q5" s="2085"/>
      <c r="R5" s="2085"/>
      <c r="S5" s="2085"/>
      <c r="T5" s="2085"/>
      <c r="U5" s="2085"/>
      <c r="V5" s="2085"/>
      <c r="W5" s="2085"/>
      <c r="X5" s="2085"/>
    </row>
    <row r="6" spans="1:24" ht="15">
      <c r="M6" s="2085"/>
      <c r="N6" s="2085"/>
      <c r="O6" s="2085"/>
      <c r="P6" s="2085"/>
      <c r="Q6" s="2085"/>
      <c r="R6" s="2085"/>
      <c r="S6" s="2085"/>
      <c r="T6" s="2085"/>
      <c r="U6" s="2085"/>
      <c r="V6" s="2085"/>
      <c r="W6" s="2085"/>
      <c r="X6" s="2085"/>
    </row>
    <row r="7" spans="1:24" ht="15">
      <c r="A7" s="2233" t="s">
        <v>1238</v>
      </c>
      <c r="B7" s="2233"/>
      <c r="C7" s="2233"/>
      <c r="D7" s="2233"/>
      <c r="E7" s="2233"/>
      <c r="F7" s="2233"/>
      <c r="G7" s="2233"/>
      <c r="H7" s="2233"/>
      <c r="I7" s="2233"/>
      <c r="J7" s="2233"/>
      <c r="K7" s="2233"/>
      <c r="L7" s="2233"/>
      <c r="M7" s="2085"/>
      <c r="N7" s="2085"/>
      <c r="O7" s="2085"/>
      <c r="P7" s="2085"/>
      <c r="Q7" s="2085"/>
      <c r="R7" s="2085"/>
      <c r="S7" s="2085"/>
      <c r="T7" s="2085"/>
      <c r="U7" s="2085"/>
      <c r="V7" s="2085"/>
      <c r="W7" s="2085"/>
      <c r="X7" s="2085"/>
    </row>
    <row r="8" spans="1:24" ht="15">
      <c r="K8" s="1944"/>
      <c r="L8" s="1944"/>
      <c r="M8" s="2085"/>
      <c r="N8" s="2085"/>
      <c r="O8" s="2085"/>
      <c r="P8" s="2085"/>
      <c r="Q8" s="2085"/>
      <c r="R8" s="2085"/>
      <c r="S8" s="2085"/>
      <c r="T8" s="2085"/>
      <c r="U8" s="2085"/>
      <c r="V8" s="2085"/>
      <c r="W8" s="2085"/>
      <c r="X8" s="2085"/>
    </row>
    <row r="9" spans="1:24" ht="15">
      <c r="A9" s="1938" t="s">
        <v>284</v>
      </c>
      <c r="B9" s="1939" t="s">
        <v>285</v>
      </c>
      <c r="C9" s="1939"/>
      <c r="D9" s="1939" t="s">
        <v>286</v>
      </c>
      <c r="E9" s="1939" t="s">
        <v>287</v>
      </c>
      <c r="F9" s="2108" t="s">
        <v>288</v>
      </c>
      <c r="G9" s="1939" t="s">
        <v>1033</v>
      </c>
      <c r="H9" s="1939" t="s">
        <v>290</v>
      </c>
      <c r="I9" s="1939"/>
      <c r="J9" s="1939" t="s">
        <v>1160</v>
      </c>
      <c r="K9" s="1941" t="s">
        <v>292</v>
      </c>
      <c r="L9" s="1941" t="s">
        <v>1035</v>
      </c>
      <c r="M9" s="2085"/>
      <c r="N9" s="2085"/>
      <c r="O9" s="2085"/>
      <c r="P9" s="2085"/>
      <c r="Q9" s="2085"/>
      <c r="R9" s="2085"/>
      <c r="S9" s="2085"/>
      <c r="T9" s="2085"/>
      <c r="U9" s="2085"/>
      <c r="V9" s="2085"/>
      <c r="W9" s="2085"/>
      <c r="X9" s="2085"/>
    </row>
    <row r="10" spans="1:24" ht="15.75" thickBot="1">
      <c r="D10" s="2055"/>
      <c r="E10" s="2055"/>
      <c r="F10" s="2109"/>
      <c r="G10" s="2055"/>
      <c r="H10" s="2055"/>
      <c r="I10" s="2055"/>
      <c r="J10" s="2055"/>
      <c r="K10" s="2085"/>
      <c r="L10" s="2085"/>
      <c r="M10" s="2085"/>
      <c r="N10" s="2085"/>
      <c r="O10" s="2085"/>
      <c r="P10" s="2085"/>
      <c r="Q10" s="2085"/>
      <c r="R10" s="2085"/>
      <c r="S10" s="2085"/>
      <c r="T10" s="2085"/>
      <c r="U10" s="2085"/>
      <c r="V10" s="2085"/>
      <c r="W10" s="2085"/>
      <c r="X10" s="2085"/>
    </row>
    <row r="11" spans="1:24" ht="39">
      <c r="A11" s="1934" t="s">
        <v>524</v>
      </c>
      <c r="B11" s="1935" t="s">
        <v>1036</v>
      </c>
      <c r="D11" s="1942" t="s">
        <v>1194</v>
      </c>
      <c r="E11" s="1939" t="s">
        <v>1038</v>
      </c>
      <c r="F11" s="2110" t="s">
        <v>1039</v>
      </c>
      <c r="G11" s="1943" t="s">
        <v>1040</v>
      </c>
      <c r="H11" s="1943" t="s">
        <v>1041</v>
      </c>
      <c r="I11" s="1944"/>
      <c r="J11" s="1943" t="s">
        <v>1042</v>
      </c>
      <c r="K11" s="1943" t="s">
        <v>1043</v>
      </c>
      <c r="L11" s="1943" t="s">
        <v>1161</v>
      </c>
      <c r="M11" s="2085"/>
      <c r="N11" s="2085"/>
      <c r="O11" s="2085"/>
      <c r="P11" s="2085"/>
      <c r="Q11" s="2085"/>
      <c r="R11" s="2085"/>
      <c r="S11" s="2085"/>
      <c r="T11" s="2085"/>
      <c r="U11" s="2085"/>
      <c r="V11" s="2085"/>
      <c r="W11" s="2085"/>
      <c r="X11" s="2085"/>
    </row>
    <row r="12" spans="1:24" ht="15.75">
      <c r="D12" s="1942"/>
      <c r="E12" s="1939"/>
      <c r="F12" s="2110"/>
      <c r="G12" s="1943"/>
      <c r="H12" s="1943"/>
      <c r="I12" s="1944"/>
      <c r="J12" s="1943"/>
      <c r="K12" s="1945"/>
      <c r="L12" s="1945"/>
      <c r="M12" s="2085"/>
      <c r="N12" s="2085"/>
      <c r="O12" s="2085"/>
      <c r="P12" s="2085"/>
      <c r="Q12" s="2085"/>
      <c r="R12" s="2085"/>
      <c r="S12" s="2085"/>
      <c r="T12" s="2085"/>
      <c r="U12" s="2085"/>
      <c r="V12" s="2085"/>
      <c r="W12" s="2085"/>
      <c r="X12" s="2085"/>
    </row>
    <row r="13" spans="1:24" ht="15.75">
      <c r="A13" s="2111" t="s">
        <v>1045</v>
      </c>
      <c r="D13" s="1942"/>
      <c r="E13" s="1939"/>
      <c r="F13" s="2110"/>
      <c r="G13" s="1943"/>
      <c r="H13" s="1943"/>
      <c r="I13" s="1944"/>
      <c r="J13" s="1943"/>
      <c r="K13" s="1945"/>
      <c r="L13" s="1945"/>
      <c r="M13" s="2085"/>
      <c r="N13" s="2085"/>
      <c r="O13" s="2085"/>
      <c r="P13" s="2085"/>
      <c r="Q13" s="2085"/>
      <c r="R13" s="2085"/>
      <c r="S13" s="2085"/>
      <c r="T13" s="2085"/>
      <c r="U13" s="2085"/>
      <c r="V13" s="2085"/>
      <c r="W13" s="2085"/>
      <c r="X13" s="2085"/>
    </row>
    <row r="14" spans="1:24" ht="15.75">
      <c r="D14" s="1942"/>
      <c r="E14" s="1939"/>
      <c r="F14" s="2110"/>
      <c r="G14" s="1943"/>
      <c r="H14" s="1943"/>
      <c r="I14" s="1944"/>
      <c r="J14" s="1943"/>
      <c r="K14" s="1945"/>
      <c r="L14" s="1945"/>
      <c r="M14" s="2085"/>
      <c r="N14" s="2085"/>
      <c r="O14" s="2085"/>
      <c r="P14" s="2085"/>
      <c r="Q14" s="2085"/>
      <c r="R14" s="2085"/>
      <c r="S14" s="2085"/>
      <c r="T14" s="2085"/>
      <c r="U14" s="2085"/>
      <c r="V14" s="2085"/>
      <c r="W14" s="2085"/>
      <c r="X14" s="2085"/>
    </row>
    <row r="15" spans="1:24" ht="15.75">
      <c r="A15" s="2112">
        <v>1</v>
      </c>
      <c r="B15" s="2113" t="s">
        <v>585</v>
      </c>
      <c r="D15" s="2087" t="s">
        <v>1214</v>
      </c>
      <c r="G15" s="1943"/>
      <c r="H15" s="1943"/>
      <c r="I15" s="1944"/>
      <c r="J15" s="1943"/>
      <c r="K15" s="1945"/>
      <c r="L15" s="1945"/>
      <c r="M15" s="2085"/>
      <c r="N15" s="2085"/>
      <c r="O15" s="2085"/>
      <c r="P15" s="2085"/>
      <c r="Q15" s="2085"/>
      <c r="R15" s="2085"/>
      <c r="S15" s="2085"/>
      <c r="T15" s="2085"/>
      <c r="U15" s="2085"/>
      <c r="V15" s="2085"/>
      <c r="W15" s="2085"/>
      <c r="X15" s="2085"/>
    </row>
    <row r="16" spans="1:24" ht="15.75">
      <c r="A16" s="2112">
        <f>+A15+1</f>
        <v>2</v>
      </c>
      <c r="D16" s="2088">
        <v>-586001761.89000022</v>
      </c>
      <c r="E16" s="2086" t="s">
        <v>1215</v>
      </c>
      <c r="F16" s="2110"/>
      <c r="G16" s="1943"/>
      <c r="H16" s="1943"/>
      <c r="I16" s="1944"/>
      <c r="J16" s="1943"/>
      <c r="K16" s="1945"/>
      <c r="L16" s="1945"/>
      <c r="M16" s="2085"/>
      <c r="N16" s="2085"/>
      <c r="O16" s="2085"/>
      <c r="P16" s="2085"/>
      <c r="Q16" s="2085"/>
      <c r="R16" s="2085"/>
      <c r="S16" s="2085"/>
      <c r="T16" s="2085"/>
      <c r="U16" s="2085"/>
      <c r="V16" s="2085"/>
      <c r="W16" s="2085"/>
      <c r="X16" s="2085"/>
    </row>
    <row r="17" spans="1:24" ht="15.75">
      <c r="A17" s="2112">
        <f>+A16+1</f>
        <v>3</v>
      </c>
      <c r="D17" s="2089">
        <v>0.99447799999999997</v>
      </c>
      <c r="E17" s="2090" t="s">
        <v>1216</v>
      </c>
      <c r="F17" s="2110"/>
      <c r="G17" s="1943"/>
      <c r="H17" s="1943"/>
      <c r="I17" s="1944"/>
      <c r="J17" s="1943"/>
      <c r="K17" s="1945"/>
      <c r="L17" s="1945"/>
      <c r="M17" s="2085"/>
      <c r="N17" s="2085"/>
      <c r="O17" s="2085"/>
      <c r="P17" s="2085"/>
      <c r="Q17" s="2085"/>
      <c r="R17" s="2085"/>
      <c r="S17" s="2085"/>
      <c r="T17" s="2085"/>
      <c r="U17" s="2085"/>
      <c r="V17" s="2085"/>
      <c r="W17" s="2085"/>
      <c r="X17" s="2085"/>
    </row>
    <row r="18" spans="1:24" ht="15.75">
      <c r="A18" s="2112">
        <f t="shared" ref="A18:A60" si="0">+A17+1</f>
        <v>4</v>
      </c>
      <c r="D18" s="2091">
        <f>+D16*D17</f>
        <v>-582765860.16084361</v>
      </c>
      <c r="E18" s="2086" t="s">
        <v>78</v>
      </c>
      <c r="F18" s="2110"/>
      <c r="G18" s="1943"/>
      <c r="H18" s="1943"/>
      <c r="I18" s="1944"/>
      <c r="J18" s="1943"/>
      <c r="K18" s="1945"/>
      <c r="L18" s="1945"/>
      <c r="M18" s="2085"/>
      <c r="N18" s="2085"/>
      <c r="O18" s="2085"/>
      <c r="P18" s="2085"/>
      <c r="Q18" s="2085"/>
      <c r="R18" s="2085"/>
      <c r="S18" s="2085"/>
      <c r="T18" s="2085"/>
      <c r="U18" s="2085"/>
      <c r="V18" s="2085"/>
      <c r="W18" s="2085"/>
      <c r="X18" s="2085"/>
    </row>
    <row r="19" spans="1:24" ht="15.75">
      <c r="A19" s="2112">
        <f t="shared" si="0"/>
        <v>5</v>
      </c>
      <c r="D19" s="2114">
        <f>4/104</f>
        <v>3.8461538461538464E-2</v>
      </c>
      <c r="E19" s="2086" t="s">
        <v>1217</v>
      </c>
      <c r="F19" s="2110"/>
      <c r="G19" s="1943"/>
      <c r="H19" s="1943"/>
      <c r="I19" s="1944"/>
      <c r="J19" s="1943"/>
      <c r="K19" s="1945"/>
      <c r="L19" s="1945"/>
      <c r="M19" s="2085"/>
      <c r="N19" s="2085"/>
      <c r="O19" s="2085"/>
      <c r="P19" s="2085"/>
      <c r="Q19" s="2085"/>
      <c r="R19" s="2085"/>
      <c r="S19" s="2085"/>
      <c r="T19" s="2085"/>
      <c r="U19" s="2085"/>
      <c r="V19" s="2085"/>
      <c r="W19" s="2085"/>
      <c r="X19" s="2085"/>
    </row>
    <row r="20" spans="1:24" ht="15.75">
      <c r="A20" s="2112">
        <f t="shared" si="0"/>
        <v>6</v>
      </c>
      <c r="D20" s="2088">
        <f>+D18*D19</f>
        <v>-22414071.544647831</v>
      </c>
      <c r="E20" s="2086" t="s">
        <v>1218</v>
      </c>
      <c r="F20" s="2110"/>
      <c r="G20" s="1943"/>
      <c r="H20" s="1943"/>
      <c r="I20" s="1944"/>
      <c r="J20" s="1943"/>
      <c r="K20" s="1945"/>
      <c r="L20" s="1945"/>
      <c r="M20" s="2085"/>
      <c r="N20" s="2085"/>
      <c r="O20" s="2085"/>
      <c r="P20" s="2085"/>
      <c r="Q20" s="2085"/>
      <c r="R20" s="2085"/>
      <c r="S20" s="2085"/>
      <c r="T20" s="2085"/>
      <c r="U20" s="2085"/>
      <c r="V20" s="2085"/>
      <c r="W20" s="2085"/>
      <c r="X20" s="2085"/>
    </row>
    <row r="21" spans="1:24" ht="15.75">
      <c r="A21" s="2112">
        <f t="shared" si="0"/>
        <v>7</v>
      </c>
      <c r="D21" s="2086"/>
      <c r="E21" s="2086"/>
      <c r="F21" s="2110"/>
      <c r="G21" s="1943"/>
      <c r="H21" s="1943"/>
      <c r="I21" s="1944"/>
      <c r="J21" s="1943"/>
      <c r="K21" s="1945"/>
      <c r="L21" s="1945"/>
      <c r="M21" s="2085"/>
      <c r="N21" s="2085"/>
      <c r="O21" s="2085"/>
      <c r="P21" s="2085"/>
      <c r="Q21" s="2085"/>
      <c r="R21" s="2085"/>
      <c r="S21" s="2085"/>
      <c r="T21" s="2085"/>
      <c r="U21" s="2085"/>
      <c r="V21" s="2085"/>
      <c r="W21" s="2085"/>
      <c r="X21" s="2085"/>
    </row>
    <row r="22" spans="1:24" ht="15.75">
      <c r="A22" s="2112">
        <f t="shared" si="0"/>
        <v>8</v>
      </c>
      <c r="D22" s="2088">
        <v>188984576</v>
      </c>
      <c r="E22" s="2086" t="s">
        <v>1219</v>
      </c>
      <c r="F22" s="2110"/>
      <c r="G22" s="1943"/>
      <c r="H22" s="1943"/>
      <c r="I22" s="1944"/>
      <c r="J22" s="1943"/>
      <c r="K22" s="1945"/>
      <c r="L22" s="1945"/>
      <c r="M22" s="2085"/>
      <c r="N22" s="2085"/>
      <c r="O22" s="2085"/>
      <c r="P22" s="2085"/>
      <c r="Q22" s="2085"/>
      <c r="R22" s="2085"/>
      <c r="S22" s="2085"/>
      <c r="T22" s="2085"/>
      <c r="U22" s="2085"/>
      <c r="V22" s="2085"/>
      <c r="W22" s="2085"/>
      <c r="X22" s="2085"/>
    </row>
    <row r="23" spans="1:24" ht="15.75">
      <c r="A23" s="2112">
        <f t="shared" si="0"/>
        <v>9</v>
      </c>
      <c r="D23" s="2115">
        <v>-79880062</v>
      </c>
      <c r="E23" s="2086" t="s">
        <v>1220</v>
      </c>
      <c r="F23" s="2110"/>
      <c r="G23" s="1943"/>
      <c r="H23" s="1943"/>
      <c r="I23" s="1944"/>
      <c r="J23" s="1943"/>
      <c r="K23" s="1945"/>
      <c r="L23" s="1945"/>
      <c r="M23" s="2085"/>
      <c r="N23" s="2085"/>
      <c r="O23" s="2085"/>
      <c r="P23" s="2085"/>
      <c r="Q23" s="2085"/>
      <c r="R23" s="2085"/>
      <c r="S23" s="2085"/>
      <c r="T23" s="2085"/>
      <c r="U23" s="2085"/>
      <c r="V23" s="2085"/>
      <c r="W23" s="2085"/>
      <c r="X23" s="2085"/>
    </row>
    <row r="24" spans="1:24" ht="15.75">
      <c r="A24" s="2112">
        <f t="shared" si="0"/>
        <v>10</v>
      </c>
      <c r="D24" s="2088">
        <f>+D22+D23</f>
        <v>109104514</v>
      </c>
      <c r="E24" s="2086" t="s">
        <v>1221</v>
      </c>
      <c r="F24" s="2110"/>
      <c r="G24" s="1943"/>
      <c r="H24" s="1943"/>
      <c r="I24" s="1944"/>
      <c r="J24" s="1943"/>
      <c r="K24" s="1945"/>
      <c r="L24" s="1945"/>
      <c r="M24" s="2085"/>
      <c r="N24" s="2085"/>
      <c r="O24" s="2085"/>
      <c r="P24" s="2085"/>
      <c r="Q24" s="2085"/>
      <c r="R24" s="2085"/>
      <c r="S24" s="2085"/>
      <c r="T24" s="2085"/>
      <c r="U24" s="2085"/>
      <c r="V24" s="2085"/>
      <c r="W24" s="2085"/>
      <c r="X24" s="2085"/>
    </row>
    <row r="25" spans="1:24" ht="15.75">
      <c r="A25" s="2112">
        <f t="shared" si="0"/>
        <v>11</v>
      </c>
      <c r="D25" s="2116">
        <v>0.04</v>
      </c>
      <c r="E25" s="2086" t="s">
        <v>1217</v>
      </c>
      <c r="F25" s="2110"/>
      <c r="G25" s="1943"/>
      <c r="H25" s="1943"/>
      <c r="I25" s="1944"/>
      <c r="J25" s="1943"/>
      <c r="K25" s="1945"/>
      <c r="L25" s="1945"/>
      <c r="M25" s="2085"/>
      <c r="N25" s="2085"/>
      <c r="O25" s="2085"/>
      <c r="P25" s="2085"/>
      <c r="Q25" s="2085"/>
      <c r="R25" s="2085"/>
      <c r="S25" s="2085"/>
      <c r="T25" s="2085"/>
      <c r="U25" s="2085"/>
      <c r="V25" s="2085"/>
      <c r="W25" s="2085"/>
      <c r="X25" s="2085"/>
    </row>
    <row r="26" spans="1:24" ht="15.75">
      <c r="A26" s="2112">
        <f t="shared" si="0"/>
        <v>12</v>
      </c>
      <c r="D26" s="2088">
        <f>+D24*D25</f>
        <v>4364180.5600000005</v>
      </c>
      <c r="E26" s="2086" t="s">
        <v>1222</v>
      </c>
      <c r="F26" s="2110"/>
      <c r="G26" s="1943"/>
      <c r="H26" s="1943"/>
      <c r="I26" s="1944"/>
      <c r="J26" s="1943"/>
      <c r="K26" s="1945"/>
      <c r="L26" s="1945"/>
      <c r="M26" s="2085"/>
      <c r="N26" s="2085"/>
      <c r="O26" s="2085"/>
      <c r="P26" s="2085"/>
      <c r="Q26" s="2085"/>
      <c r="R26" s="2085"/>
      <c r="S26" s="2085"/>
      <c r="T26" s="2085"/>
      <c r="U26" s="2085"/>
      <c r="V26" s="2085"/>
      <c r="W26" s="2085"/>
      <c r="X26" s="2085"/>
    </row>
    <row r="27" spans="1:24" ht="15.75">
      <c r="A27" s="2112">
        <f t="shared" si="0"/>
        <v>13</v>
      </c>
      <c r="D27" s="2086"/>
      <c r="E27" s="2086"/>
      <c r="F27" s="2110"/>
      <c r="G27" s="1943"/>
      <c r="H27" s="1943"/>
      <c r="I27" s="1944"/>
      <c r="J27" s="1943"/>
      <c r="K27" s="1945"/>
      <c r="L27" s="1945"/>
      <c r="M27" s="2085"/>
      <c r="N27" s="2085"/>
      <c r="O27" s="2085"/>
      <c r="P27" s="2085"/>
      <c r="Q27" s="2085"/>
      <c r="R27" s="2085"/>
      <c r="S27" s="2085"/>
      <c r="T27" s="2085"/>
      <c r="U27" s="2085"/>
      <c r="V27" s="2085"/>
      <c r="W27" s="2085"/>
      <c r="X27" s="2085"/>
    </row>
    <row r="28" spans="1:24" ht="15.75">
      <c r="A28" s="2112">
        <f t="shared" si="0"/>
        <v>14</v>
      </c>
      <c r="D28" s="2088">
        <v>0</v>
      </c>
      <c r="E28" s="2086" t="s">
        <v>1223</v>
      </c>
      <c r="F28" s="2110"/>
      <c r="G28" s="1943"/>
      <c r="H28" s="1943"/>
      <c r="I28" s="1944"/>
      <c r="J28" s="1943"/>
      <c r="K28" s="1945"/>
      <c r="L28" s="1945"/>
      <c r="M28" s="2085"/>
      <c r="N28" s="2085"/>
      <c r="O28" s="2085"/>
      <c r="P28" s="2085"/>
      <c r="Q28" s="2085"/>
      <c r="R28" s="2085"/>
      <c r="S28" s="2085"/>
      <c r="T28" s="2085"/>
      <c r="U28" s="2085"/>
      <c r="V28" s="2085"/>
      <c r="W28" s="2085"/>
      <c r="X28" s="2085"/>
    </row>
    <row r="29" spans="1:24" ht="15.75">
      <c r="A29" s="2112">
        <f t="shared" si="0"/>
        <v>15</v>
      </c>
      <c r="D29" s="2089">
        <f>+D17</f>
        <v>0.99447799999999997</v>
      </c>
      <c r="E29" s="2090" t="s">
        <v>1224</v>
      </c>
      <c r="F29" s="2110"/>
      <c r="G29" s="1943"/>
      <c r="H29" s="1943"/>
      <c r="I29" s="1944"/>
      <c r="J29" s="1943"/>
      <c r="K29" s="1945"/>
      <c r="L29" s="1945"/>
      <c r="M29" s="2085"/>
      <c r="N29" s="2085"/>
      <c r="O29" s="2085"/>
      <c r="P29" s="2085"/>
      <c r="Q29" s="2085"/>
      <c r="R29" s="2085"/>
      <c r="S29" s="2085"/>
      <c r="T29" s="2085"/>
      <c r="U29" s="2085"/>
      <c r="V29" s="2085"/>
      <c r="W29" s="2085"/>
      <c r="X29" s="2085"/>
    </row>
    <row r="30" spans="1:24" ht="15.75">
      <c r="A30" s="2112">
        <f t="shared" si="0"/>
        <v>16</v>
      </c>
      <c r="D30" s="2091">
        <f>+D28*D29</f>
        <v>0</v>
      </c>
      <c r="E30" s="2086" t="s">
        <v>1198</v>
      </c>
      <c r="F30" s="2110"/>
      <c r="G30" s="1943"/>
      <c r="H30" s="1943"/>
      <c r="I30" s="1944"/>
      <c r="J30" s="1943"/>
      <c r="K30" s="1945"/>
      <c r="L30" s="1945"/>
      <c r="M30" s="2085"/>
      <c r="N30" s="2085"/>
      <c r="O30" s="2085"/>
      <c r="P30" s="2085"/>
      <c r="Q30" s="2085"/>
      <c r="R30" s="2085"/>
      <c r="S30" s="2085"/>
      <c r="T30" s="2085"/>
      <c r="U30" s="2085"/>
      <c r="V30" s="2085"/>
      <c r="W30" s="2085"/>
      <c r="X30" s="2085"/>
    </row>
    <row r="31" spans="1:24" ht="15.75">
      <c r="A31" s="2112">
        <f t="shared" si="0"/>
        <v>17</v>
      </c>
      <c r="D31" s="2114">
        <f>+D19</f>
        <v>3.8461538461538464E-2</v>
      </c>
      <c r="E31" s="2086" t="s">
        <v>1217</v>
      </c>
      <c r="F31" s="2110"/>
      <c r="G31" s="1943"/>
      <c r="H31" s="1943"/>
      <c r="I31" s="1944"/>
      <c r="J31" s="1943"/>
      <c r="K31" s="1945"/>
      <c r="L31" s="1945"/>
      <c r="M31" s="2085"/>
      <c r="N31" s="2085"/>
      <c r="O31" s="2085"/>
      <c r="P31" s="2085"/>
      <c r="Q31" s="2085"/>
      <c r="R31" s="2085"/>
      <c r="S31" s="2085"/>
      <c r="T31" s="2085"/>
      <c r="U31" s="2085"/>
      <c r="V31" s="2085"/>
      <c r="W31" s="2085"/>
      <c r="X31" s="2085"/>
    </row>
    <row r="32" spans="1:24" ht="15.75">
      <c r="A32" s="2112">
        <f t="shared" si="0"/>
        <v>18</v>
      </c>
      <c r="D32" s="2088">
        <f>+D30*D31</f>
        <v>0</v>
      </c>
      <c r="E32" s="2086" t="s">
        <v>1218</v>
      </c>
      <c r="F32" s="2110"/>
      <c r="G32" s="1943"/>
      <c r="H32" s="1943"/>
      <c r="I32" s="1944"/>
      <c r="J32" s="1943"/>
      <c r="K32" s="1945"/>
      <c r="L32" s="1945"/>
      <c r="M32" s="2085"/>
      <c r="N32" s="2085"/>
      <c r="O32" s="2085"/>
      <c r="P32" s="2085"/>
      <c r="Q32" s="2085"/>
      <c r="R32" s="2085"/>
      <c r="S32" s="2085"/>
      <c r="T32" s="2085"/>
      <c r="U32" s="2085"/>
      <c r="V32" s="2085"/>
      <c r="W32" s="2085"/>
      <c r="X32" s="2085"/>
    </row>
    <row r="33" spans="1:24" ht="15.75">
      <c r="A33" s="2112">
        <f t="shared" si="0"/>
        <v>19</v>
      </c>
      <c r="D33" s="2117"/>
      <c r="E33" s="2086"/>
      <c r="F33" s="2110"/>
      <c r="G33" s="1943"/>
      <c r="H33" s="1943"/>
      <c r="I33" s="1944"/>
      <c r="J33" s="1943"/>
      <c r="K33" s="1945"/>
      <c r="L33" s="1945"/>
      <c r="M33" s="2085"/>
      <c r="N33" s="2085"/>
      <c r="O33" s="2085"/>
      <c r="P33" s="2085"/>
      <c r="Q33" s="2085"/>
      <c r="R33" s="2085"/>
      <c r="S33" s="2085"/>
      <c r="T33" s="2085"/>
      <c r="U33" s="2085"/>
      <c r="V33" s="2085"/>
      <c r="W33" s="2085"/>
      <c r="X33" s="2085"/>
    </row>
    <row r="34" spans="1:24" ht="15.75">
      <c r="A34" s="2112">
        <f t="shared" si="0"/>
        <v>20</v>
      </c>
      <c r="D34" s="2117"/>
      <c r="E34" s="2086"/>
      <c r="F34" s="2110"/>
      <c r="G34" s="1943"/>
      <c r="H34" s="1943"/>
      <c r="I34" s="1944"/>
      <c r="J34" s="1943"/>
      <c r="K34" s="1945"/>
      <c r="L34" s="1945"/>
      <c r="M34" s="2085"/>
      <c r="N34" s="2085"/>
      <c r="O34" s="2085"/>
      <c r="P34" s="2085"/>
      <c r="Q34" s="2085"/>
      <c r="R34" s="2085"/>
      <c r="S34" s="2085"/>
      <c r="T34" s="2085"/>
      <c r="U34" s="2085"/>
      <c r="V34" s="2085"/>
      <c r="W34" s="2085"/>
      <c r="X34" s="2085"/>
    </row>
    <row r="35" spans="1:24" ht="15.75">
      <c r="A35" s="2112">
        <f t="shared" si="0"/>
        <v>21</v>
      </c>
      <c r="B35" s="2113" t="s">
        <v>585</v>
      </c>
      <c r="D35" s="2087" t="s">
        <v>1225</v>
      </c>
      <c r="E35" s="2086"/>
      <c r="F35" s="2110"/>
      <c r="G35" s="1943"/>
      <c r="H35" s="1943"/>
      <c r="I35" s="1944"/>
      <c r="J35" s="1943"/>
      <c r="K35" s="1945"/>
      <c r="L35" s="1945"/>
      <c r="M35" s="2085"/>
      <c r="N35" s="2085"/>
      <c r="O35" s="2085"/>
      <c r="P35" s="2085"/>
      <c r="Q35" s="2085"/>
      <c r="R35" s="2085"/>
      <c r="S35" s="2085"/>
      <c r="T35" s="2085"/>
      <c r="U35" s="2085"/>
      <c r="V35" s="2085"/>
      <c r="W35" s="2085"/>
      <c r="X35" s="2085"/>
    </row>
    <row r="36" spans="1:24" ht="15.75">
      <c r="A36" s="2112">
        <f t="shared" si="0"/>
        <v>22</v>
      </c>
      <c r="D36" s="2088">
        <f>+D16</f>
        <v>-586001761.89000022</v>
      </c>
      <c r="E36" s="2086" t="s">
        <v>1226</v>
      </c>
      <c r="F36" s="2110"/>
      <c r="G36" s="1943"/>
      <c r="H36" s="1943"/>
      <c r="I36" s="1944"/>
      <c r="J36" s="1943"/>
      <c r="K36" s="1945"/>
      <c r="L36" s="1945"/>
      <c r="M36" s="2085"/>
      <c r="N36" s="2085"/>
      <c r="O36" s="2085"/>
      <c r="P36" s="2085"/>
      <c r="Q36" s="2085"/>
      <c r="R36" s="2085"/>
      <c r="S36" s="2085"/>
      <c r="T36" s="2085"/>
      <c r="U36" s="2085"/>
      <c r="V36" s="2085"/>
      <c r="W36" s="2085"/>
      <c r="X36" s="2085"/>
    </row>
    <row r="37" spans="1:24" ht="15.75">
      <c r="A37" s="2112">
        <f t="shared" si="0"/>
        <v>23</v>
      </c>
      <c r="D37" s="2118">
        <f>+D17</f>
        <v>0.99447799999999997</v>
      </c>
      <c r="E37" s="2090" t="s">
        <v>1224</v>
      </c>
      <c r="F37" s="2110"/>
      <c r="G37" s="1943"/>
      <c r="H37" s="1943" t="s">
        <v>1227</v>
      </c>
      <c r="I37" s="1944"/>
      <c r="J37" s="1943"/>
      <c r="K37" s="1945"/>
      <c r="L37" s="1945"/>
      <c r="M37" s="2085"/>
      <c r="N37" s="2085"/>
      <c r="O37" s="2085"/>
      <c r="P37" s="2085"/>
      <c r="Q37" s="2085"/>
      <c r="R37" s="2085"/>
      <c r="S37" s="2085"/>
      <c r="T37" s="2085"/>
      <c r="U37" s="2085"/>
      <c r="V37" s="2085"/>
      <c r="W37" s="2085"/>
      <c r="X37" s="2085"/>
    </row>
    <row r="38" spans="1:24" ht="15.75">
      <c r="A38" s="2112">
        <f t="shared" si="0"/>
        <v>24</v>
      </c>
      <c r="D38" s="2088">
        <f>+D36*D37</f>
        <v>-582765860.16084361</v>
      </c>
      <c r="E38" s="2086" t="s">
        <v>1198</v>
      </c>
      <c r="F38" s="2110"/>
      <c r="G38" s="1943"/>
      <c r="H38" s="1943"/>
      <c r="I38" s="1944"/>
      <c r="J38" s="1943"/>
      <c r="K38" s="1945"/>
      <c r="L38" s="1945"/>
      <c r="M38" s="2085"/>
      <c r="N38" s="2085"/>
      <c r="O38" s="2085"/>
      <c r="P38" s="2085"/>
      <c r="Q38" s="2085"/>
      <c r="R38" s="2085"/>
      <c r="S38" s="2085"/>
      <c r="T38" s="2085"/>
      <c r="U38" s="2085"/>
      <c r="V38" s="2085"/>
      <c r="W38" s="2085"/>
      <c r="X38" s="2085"/>
    </row>
    <row r="39" spans="1:24" ht="15.75">
      <c r="A39" s="2112">
        <f t="shared" si="0"/>
        <v>25</v>
      </c>
      <c r="D39" s="2119">
        <v>5.6603773584905662E-2</v>
      </c>
      <c r="E39" s="2086" t="s">
        <v>1217</v>
      </c>
      <c r="F39" s="2110"/>
      <c r="G39" s="1943"/>
      <c r="H39" s="1943"/>
      <c r="I39" s="1944"/>
      <c r="J39" s="1943"/>
      <c r="K39" s="1945"/>
      <c r="L39" s="1945"/>
      <c r="M39" s="2085"/>
      <c r="N39" s="2085"/>
      <c r="O39" s="2085"/>
      <c r="P39" s="2085"/>
      <c r="Q39" s="2085"/>
      <c r="R39" s="2085"/>
      <c r="S39" s="2085"/>
      <c r="T39" s="2085"/>
      <c r="U39" s="2085"/>
      <c r="V39" s="2085"/>
      <c r="W39" s="2085"/>
      <c r="X39" s="2085"/>
    </row>
    <row r="40" spans="1:24" ht="15">
      <c r="A40" s="2112">
        <f t="shared" si="0"/>
        <v>26</v>
      </c>
      <c r="D40" s="2088">
        <f>+D38*D39</f>
        <v>-32986746.801557187</v>
      </c>
      <c r="E40" s="2086" t="s">
        <v>1228</v>
      </c>
      <c r="F40" s="2088"/>
      <c r="G40" s="2120"/>
      <c r="H40" s="1962"/>
      <c r="I40" s="1962"/>
      <c r="J40" s="1962"/>
      <c r="K40" s="1949"/>
      <c r="L40" s="1949"/>
      <c r="M40" s="2085"/>
      <c r="N40" s="2085"/>
      <c r="O40" s="2085"/>
      <c r="P40" s="2085"/>
      <c r="Q40" s="2085"/>
      <c r="R40" s="2085"/>
      <c r="S40" s="2085"/>
      <c r="T40" s="2085"/>
      <c r="U40" s="2085"/>
      <c r="V40" s="2085"/>
      <c r="W40" s="2085"/>
      <c r="X40" s="2085"/>
    </row>
    <row r="41" spans="1:24" ht="15.75">
      <c r="A41" s="2112">
        <f t="shared" si="0"/>
        <v>27</v>
      </c>
      <c r="D41" s="2117"/>
      <c r="E41" s="2086"/>
      <c r="F41" s="2110"/>
      <c r="G41" s="1943"/>
      <c r="H41" s="1943"/>
      <c r="I41" s="1944"/>
      <c r="J41" s="1943"/>
      <c r="K41" s="1945"/>
      <c r="L41" s="1945"/>
      <c r="M41" s="2085"/>
      <c r="N41" s="2085"/>
      <c r="O41" s="2085"/>
      <c r="P41" s="2085"/>
      <c r="Q41" s="2085"/>
      <c r="R41" s="2085"/>
      <c r="S41" s="2085"/>
      <c r="T41" s="2085"/>
      <c r="U41" s="2085"/>
      <c r="V41" s="2085"/>
      <c r="W41" s="2085"/>
      <c r="X41" s="2085"/>
    </row>
    <row r="42" spans="1:24" ht="15.75">
      <c r="A42" s="2112">
        <f t="shared" si="0"/>
        <v>28</v>
      </c>
      <c r="D42" s="2088">
        <f>+D22</f>
        <v>188984576</v>
      </c>
      <c r="E42" s="2086" t="s">
        <v>1219</v>
      </c>
      <c r="F42" s="2110"/>
      <c r="G42" s="1943"/>
      <c r="H42" s="1943"/>
      <c r="I42" s="1944"/>
      <c r="J42" s="1943"/>
      <c r="K42" s="1945"/>
      <c r="L42" s="1945"/>
      <c r="M42" s="2085"/>
      <c r="N42" s="2085"/>
      <c r="O42" s="2085"/>
      <c r="P42" s="2085"/>
      <c r="Q42" s="2085"/>
      <c r="R42" s="2085"/>
      <c r="S42" s="2085"/>
      <c r="T42" s="2085"/>
      <c r="U42" s="2085"/>
      <c r="V42" s="2085"/>
      <c r="W42" s="2085"/>
      <c r="X42" s="2085"/>
    </row>
    <row r="43" spans="1:24" ht="15.75">
      <c r="A43" s="2112">
        <f t="shared" si="0"/>
        <v>29</v>
      </c>
      <c r="D43" s="2115">
        <f>+D23</f>
        <v>-79880062</v>
      </c>
      <c r="E43" s="2086" t="s">
        <v>1229</v>
      </c>
      <c r="F43" s="2110"/>
      <c r="G43" s="1943"/>
      <c r="H43" s="1943"/>
      <c r="I43" s="1944"/>
      <c r="J43" s="1943"/>
      <c r="K43" s="1945"/>
      <c r="L43" s="1945"/>
      <c r="M43" s="2085"/>
      <c r="N43" s="2085"/>
      <c r="O43" s="2085"/>
      <c r="P43" s="2085"/>
      <c r="Q43" s="2085"/>
      <c r="R43" s="2085"/>
      <c r="S43" s="2085"/>
      <c r="T43" s="2085"/>
      <c r="U43" s="2085"/>
      <c r="V43" s="2085"/>
      <c r="W43" s="2085"/>
      <c r="X43" s="2085"/>
    </row>
    <row r="44" spans="1:24" ht="15.75">
      <c r="A44" s="2112">
        <f t="shared" si="0"/>
        <v>30</v>
      </c>
      <c r="D44" s="2088">
        <f>+D42+D43</f>
        <v>109104514</v>
      </c>
      <c r="E44" s="2086" t="s">
        <v>1221</v>
      </c>
      <c r="F44" s="2110"/>
      <c r="G44" s="1943"/>
      <c r="H44" s="1943"/>
      <c r="I44" s="1944"/>
      <c r="J44" s="1943"/>
      <c r="K44" s="1945"/>
      <c r="L44" s="1945"/>
      <c r="M44" s="2085"/>
      <c r="N44" s="2085"/>
      <c r="O44" s="2085"/>
      <c r="P44" s="2085"/>
      <c r="Q44" s="2085"/>
      <c r="R44" s="2085"/>
      <c r="S44" s="2085"/>
      <c r="T44" s="2085"/>
      <c r="U44" s="2085"/>
      <c r="V44" s="2085"/>
      <c r="W44" s="2085"/>
      <c r="X44" s="2085"/>
    </row>
    <row r="45" spans="1:24" ht="15.75">
      <c r="A45" s="2112">
        <f t="shared" si="0"/>
        <v>31</v>
      </c>
      <c r="D45" s="2116">
        <v>0.06</v>
      </c>
      <c r="E45" s="2086" t="s">
        <v>1217</v>
      </c>
      <c r="F45" s="2110"/>
      <c r="G45" s="1943"/>
      <c r="H45" s="1943"/>
      <c r="I45" s="1944"/>
      <c r="J45" s="1943"/>
      <c r="K45" s="1945"/>
      <c r="L45" s="1945"/>
      <c r="M45" s="2085"/>
      <c r="N45" s="2085"/>
      <c r="O45" s="2085"/>
      <c r="P45" s="2085"/>
      <c r="Q45" s="2085"/>
      <c r="R45" s="2085"/>
      <c r="S45" s="2085"/>
      <c r="T45" s="2085"/>
      <c r="U45" s="2085"/>
      <c r="V45" s="2085"/>
      <c r="W45" s="2085"/>
      <c r="X45" s="2085"/>
    </row>
    <row r="46" spans="1:24" ht="15.75">
      <c r="A46" s="2112">
        <f t="shared" si="0"/>
        <v>32</v>
      </c>
      <c r="D46" s="2088">
        <f>+D44*D45</f>
        <v>6546270.8399999999</v>
      </c>
      <c r="E46" s="2086" t="s">
        <v>1222</v>
      </c>
      <c r="F46" s="2110"/>
      <c r="G46" s="1943"/>
      <c r="H46" s="1943"/>
      <c r="I46" s="1944"/>
      <c r="J46" s="1943"/>
      <c r="K46" s="1945"/>
      <c r="L46" s="1945"/>
      <c r="M46" s="2085"/>
      <c r="N46" s="2085"/>
      <c r="O46" s="2085"/>
      <c r="P46" s="2085"/>
      <c r="Q46" s="2085"/>
      <c r="R46" s="2085"/>
      <c r="S46" s="2085"/>
      <c r="T46" s="2085"/>
      <c r="U46" s="2085"/>
      <c r="V46" s="2085"/>
      <c r="W46" s="2085"/>
      <c r="X46" s="2085"/>
    </row>
    <row r="47" spans="1:24" ht="15.75">
      <c r="A47" s="2112">
        <f t="shared" si="0"/>
        <v>33</v>
      </c>
      <c r="D47" s="2117"/>
      <c r="E47" s="2086"/>
      <c r="F47" s="2110"/>
      <c r="G47" s="1943"/>
      <c r="H47" s="1943"/>
      <c r="I47" s="1944"/>
      <c r="J47" s="1943"/>
      <c r="K47" s="1945"/>
      <c r="L47" s="1945"/>
      <c r="M47" s="2085"/>
      <c r="N47" s="2085"/>
      <c r="O47" s="2085"/>
      <c r="P47" s="2085"/>
      <c r="Q47" s="2085"/>
      <c r="R47" s="2085"/>
      <c r="S47" s="2085"/>
      <c r="T47" s="2085"/>
      <c r="U47" s="2085"/>
      <c r="V47" s="2085"/>
      <c r="W47" s="2085"/>
      <c r="X47" s="2085"/>
    </row>
    <row r="48" spans="1:24" ht="15.75">
      <c r="A48" s="2112">
        <f t="shared" si="0"/>
        <v>34</v>
      </c>
      <c r="D48" s="2117"/>
      <c r="E48" s="2086" t="s">
        <v>1223</v>
      </c>
      <c r="F48" s="2110"/>
      <c r="G48" s="1943"/>
      <c r="H48" s="1943"/>
      <c r="I48" s="1944"/>
      <c r="J48" s="1943"/>
      <c r="K48" s="1945"/>
      <c r="L48" s="1945"/>
      <c r="M48" s="2085"/>
      <c r="N48" s="2085"/>
      <c r="O48" s="2085"/>
      <c r="P48" s="2085"/>
      <c r="Q48" s="2085"/>
      <c r="R48" s="2085"/>
      <c r="S48" s="2085"/>
      <c r="T48" s="2085"/>
      <c r="U48" s="2085"/>
      <c r="V48" s="2085"/>
      <c r="W48" s="2085"/>
      <c r="X48" s="2085"/>
    </row>
    <row r="49" spans="1:24" ht="15">
      <c r="A49" s="2112">
        <f t="shared" si="0"/>
        <v>35</v>
      </c>
      <c r="D49" s="2089">
        <f>+D37</f>
        <v>0.99447799999999997</v>
      </c>
      <c r="E49" s="2090" t="s">
        <v>1224</v>
      </c>
      <c r="F49" s="2121"/>
      <c r="G49" s="1949"/>
      <c r="H49" s="1949"/>
      <c r="I49" s="1949"/>
      <c r="J49" s="1949"/>
      <c r="K49" s="1949"/>
      <c r="L49" s="1949"/>
      <c r="M49" s="2085"/>
      <c r="N49" s="2085"/>
      <c r="O49" s="2085"/>
      <c r="P49" s="2085"/>
      <c r="Q49" s="2085"/>
      <c r="R49" s="2085"/>
      <c r="S49" s="2085"/>
      <c r="T49" s="2085"/>
      <c r="U49" s="2085"/>
      <c r="V49" s="2085"/>
      <c r="W49" s="2085"/>
      <c r="X49" s="2085"/>
    </row>
    <row r="50" spans="1:24" ht="12.6" customHeight="1">
      <c r="A50" s="2112">
        <f t="shared" si="0"/>
        <v>36</v>
      </c>
      <c r="B50" s="1951"/>
      <c r="D50" s="2091">
        <f>+D48*D49</f>
        <v>0</v>
      </c>
      <c r="E50" s="2086" t="s">
        <v>1198</v>
      </c>
      <c r="F50" s="2122"/>
      <c r="G50" s="1944"/>
      <c r="H50" s="1944"/>
      <c r="I50" s="1944"/>
      <c r="J50" s="1944"/>
      <c r="K50" s="1949"/>
      <c r="L50" s="1949"/>
      <c r="M50" s="2085"/>
      <c r="N50" s="2085"/>
      <c r="O50" s="2085"/>
      <c r="P50" s="2085"/>
      <c r="Q50" s="2085"/>
      <c r="R50" s="2085"/>
      <c r="S50" s="2085"/>
      <c r="T50" s="2085"/>
      <c r="U50" s="2085"/>
      <c r="V50" s="2085"/>
      <c r="W50" s="2085"/>
      <c r="X50" s="2085"/>
    </row>
    <row r="51" spans="1:24" ht="15">
      <c r="A51" s="2112">
        <f t="shared" si="0"/>
        <v>37</v>
      </c>
      <c r="B51" s="1951"/>
      <c r="D51" s="2114">
        <f>+D39</f>
        <v>5.6603773584905662E-2</v>
      </c>
      <c r="E51" s="2086" t="s">
        <v>1217</v>
      </c>
      <c r="F51" s="2123"/>
      <c r="G51" s="1941"/>
      <c r="H51" s="1962"/>
      <c r="I51" s="1962"/>
      <c r="J51" s="1962"/>
      <c r="K51" s="1949"/>
      <c r="L51" s="1949"/>
      <c r="M51" s="2085"/>
      <c r="N51" s="2085"/>
      <c r="O51" s="2085"/>
      <c r="P51" s="2085"/>
      <c r="Q51" s="2085"/>
      <c r="R51" s="2085"/>
      <c r="S51" s="2085"/>
      <c r="T51" s="2085"/>
      <c r="U51" s="2085"/>
      <c r="V51" s="2085"/>
      <c r="W51" s="2085"/>
      <c r="X51" s="2085"/>
    </row>
    <row r="52" spans="1:24" ht="15.75">
      <c r="A52" s="2112">
        <f t="shared" si="0"/>
        <v>38</v>
      </c>
      <c r="B52" s="1951"/>
      <c r="D52" s="2088">
        <f>+D50*D51</f>
        <v>0</v>
      </c>
      <c r="E52" s="2086" t="s">
        <v>1218</v>
      </c>
      <c r="F52" s="2124"/>
      <c r="G52" s="1941"/>
      <c r="H52" s="1962"/>
      <c r="I52" s="1962"/>
      <c r="J52" s="1962"/>
      <c r="K52" s="1949"/>
      <c r="L52" s="1949"/>
      <c r="M52" s="2085"/>
      <c r="N52" s="2085"/>
      <c r="O52" s="2085"/>
      <c r="P52" s="2085"/>
      <c r="Q52" s="2085"/>
      <c r="R52" s="2085"/>
      <c r="S52" s="2085"/>
      <c r="T52" s="2085"/>
      <c r="U52" s="2085"/>
      <c r="V52" s="2085"/>
      <c r="W52" s="2085"/>
      <c r="X52" s="2085"/>
    </row>
    <row r="53" spans="1:24" ht="15.75">
      <c r="A53" s="2112">
        <f t="shared" si="0"/>
        <v>39</v>
      </c>
      <c r="B53" s="1951"/>
      <c r="D53" s="2117"/>
      <c r="E53" s="2125"/>
      <c r="F53" s="2124"/>
      <c r="G53" s="1941"/>
      <c r="H53" s="1962"/>
      <c r="I53" s="1962"/>
      <c r="J53" s="1962"/>
      <c r="K53" s="1949"/>
      <c r="L53" s="1949"/>
      <c r="M53" s="2085"/>
      <c r="N53" s="2085"/>
      <c r="O53" s="2085"/>
      <c r="P53" s="2085"/>
      <c r="Q53" s="2085"/>
      <c r="R53" s="2085"/>
      <c r="S53" s="2085"/>
      <c r="T53" s="2085"/>
      <c r="U53" s="2085"/>
      <c r="V53" s="2085"/>
      <c r="W53" s="2085"/>
      <c r="X53" s="2085"/>
    </row>
    <row r="54" spans="1:24" ht="15.75">
      <c r="A54" s="2112">
        <f t="shared" si="0"/>
        <v>40</v>
      </c>
      <c r="B54" s="1951"/>
      <c r="D54" s="2087" t="s">
        <v>1230</v>
      </c>
      <c r="E54" s="2086"/>
      <c r="F54" s="2124"/>
      <c r="G54" s="1941"/>
      <c r="H54" s="1962"/>
      <c r="I54" s="1962"/>
      <c r="J54" s="1962"/>
      <c r="K54" s="1949"/>
      <c r="L54" s="1949"/>
      <c r="M54" s="2085"/>
      <c r="N54" s="2085"/>
      <c r="O54" s="2085"/>
      <c r="P54" s="2085"/>
      <c r="Q54" s="2085"/>
      <c r="R54" s="2085"/>
      <c r="S54" s="2085"/>
      <c r="T54" s="2085"/>
      <c r="U54" s="2085"/>
      <c r="V54" s="2085"/>
      <c r="W54" s="2085"/>
      <c r="X54" s="2085"/>
    </row>
    <row r="55" spans="1:24" ht="35.25" customHeight="1">
      <c r="A55" s="2112">
        <f t="shared" si="0"/>
        <v>41</v>
      </c>
      <c r="B55" s="1951"/>
      <c r="D55" s="2094">
        <f>+D20-D40</f>
        <v>10572675.256909356</v>
      </c>
      <c r="E55" s="2126" t="s">
        <v>1231</v>
      </c>
      <c r="F55" s="2127">
        <f>+D55</f>
        <v>10572675.256909356</v>
      </c>
      <c r="G55" s="2120">
        <f>+F55/D40</f>
        <v>-0.32051282051282054</v>
      </c>
      <c r="H55" s="1962">
        <v>0</v>
      </c>
      <c r="I55" s="1962"/>
      <c r="J55" s="1962">
        <f>+F55+H55</f>
        <v>10572675.256909356</v>
      </c>
      <c r="K55" s="1949" t="s">
        <v>819</v>
      </c>
      <c r="L55" s="1949">
        <f>+D40+J55</f>
        <v>-22414071.544647831</v>
      </c>
      <c r="M55" s="2085"/>
      <c r="N55" s="2085"/>
      <c r="O55" s="2085"/>
      <c r="P55" s="2085"/>
      <c r="Q55" s="2085"/>
      <c r="R55" s="2085"/>
      <c r="S55" s="2085"/>
      <c r="T55" s="2085"/>
      <c r="U55" s="2085"/>
      <c r="V55" s="2085"/>
      <c r="W55" s="2085"/>
      <c r="X55" s="2085"/>
    </row>
    <row r="56" spans="1:24" ht="15.75">
      <c r="A56" s="2112">
        <f t="shared" si="0"/>
        <v>42</v>
      </c>
      <c r="B56" s="1951"/>
      <c r="D56" s="2094">
        <f>+D32-D52</f>
        <v>0</v>
      </c>
      <c r="E56" s="2086" t="s">
        <v>1232</v>
      </c>
      <c r="F56" s="2127"/>
      <c r="G56" s="1941"/>
      <c r="H56" s="1962"/>
      <c r="I56" s="1962"/>
      <c r="J56" s="1962"/>
      <c r="K56" s="1949"/>
      <c r="L56" s="1949"/>
      <c r="M56" s="2085"/>
      <c r="N56" s="2085"/>
      <c r="O56" s="2085"/>
      <c r="P56" s="2085"/>
      <c r="Q56" s="2085"/>
      <c r="R56" s="2085"/>
      <c r="S56" s="2085"/>
      <c r="T56" s="2085"/>
      <c r="U56" s="2085"/>
      <c r="V56" s="2085"/>
      <c r="W56" s="2085"/>
      <c r="X56" s="2085"/>
    </row>
    <row r="57" spans="1:24" ht="15.75">
      <c r="A57" s="2112">
        <f t="shared" si="0"/>
        <v>43</v>
      </c>
      <c r="B57" s="1951"/>
      <c r="D57" s="2128">
        <f>+D26-D46</f>
        <v>-2182090.2799999993</v>
      </c>
      <c r="E57" s="2086" t="s">
        <v>1233</v>
      </c>
      <c r="F57" s="2127">
        <f>+D57</f>
        <v>-2182090.2799999993</v>
      </c>
      <c r="G57" s="2120">
        <f>+F57/D46</f>
        <v>-0.33333333333333326</v>
      </c>
      <c r="H57" s="1962">
        <v>0</v>
      </c>
      <c r="I57" s="1962"/>
      <c r="J57" s="1962">
        <f>+F57+H57</f>
        <v>-2182090.2799999993</v>
      </c>
      <c r="K57" s="1949" t="s">
        <v>819</v>
      </c>
      <c r="L57" s="1949">
        <f>+D46+J57</f>
        <v>4364180.5600000005</v>
      </c>
      <c r="M57" s="2085"/>
      <c r="N57" s="2085"/>
      <c r="O57" s="2085"/>
      <c r="P57" s="2085"/>
      <c r="Q57" s="2085"/>
      <c r="R57" s="2085"/>
      <c r="S57" s="2085"/>
      <c r="T57" s="2085"/>
      <c r="U57" s="2085"/>
      <c r="V57" s="2085"/>
      <c r="W57" s="2085"/>
      <c r="X57" s="2085"/>
    </row>
    <row r="58" spans="1:24" ht="15">
      <c r="A58" s="2112">
        <f t="shared" si="0"/>
        <v>44</v>
      </c>
      <c r="B58" s="1951"/>
      <c r="D58" s="2088">
        <f t="shared" ref="D58" si="1">SUM(D55:D57)</f>
        <v>8390584.9769093562</v>
      </c>
      <c r="E58" s="2086" t="s">
        <v>1198</v>
      </c>
      <c r="F58" s="1935"/>
      <c r="M58" s="2085"/>
      <c r="N58" s="2085"/>
      <c r="O58" s="2085"/>
      <c r="P58" s="2085"/>
      <c r="Q58" s="2085"/>
      <c r="R58" s="2085"/>
      <c r="S58" s="2085"/>
      <c r="T58" s="2085"/>
      <c r="U58" s="2085"/>
      <c r="V58" s="2085"/>
      <c r="W58" s="2085"/>
      <c r="X58" s="2085"/>
    </row>
    <row r="59" spans="1:24" ht="15">
      <c r="A59" s="2112">
        <f t="shared" si="0"/>
        <v>45</v>
      </c>
      <c r="B59" s="1951"/>
      <c r="D59" s="2128">
        <f t="shared" ref="D59" si="2">-D58*0.21</f>
        <v>-1762022.8451509648</v>
      </c>
      <c r="E59" s="2086" t="s">
        <v>1234</v>
      </c>
      <c r="F59" s="2094">
        <f>+D59</f>
        <v>-1762022.8451509648</v>
      </c>
      <c r="G59" s="2120">
        <f>+F59/D58</f>
        <v>-0.21</v>
      </c>
      <c r="H59" s="1962">
        <v>0</v>
      </c>
      <c r="I59" s="1962"/>
      <c r="J59" s="1962">
        <f>+F59+H59</f>
        <v>-1762022.8451509648</v>
      </c>
      <c r="K59" s="1949" t="s">
        <v>819</v>
      </c>
      <c r="L59" s="1949">
        <f>+J59</f>
        <v>-1762022.8451509648</v>
      </c>
      <c r="M59" s="2085"/>
      <c r="N59" s="2085"/>
      <c r="O59" s="2085"/>
      <c r="P59" s="2085"/>
      <c r="Q59" s="2085"/>
      <c r="R59" s="2085"/>
      <c r="S59" s="2085"/>
      <c r="T59" s="2085"/>
      <c r="U59" s="2085"/>
      <c r="V59" s="2085"/>
      <c r="W59" s="2085"/>
      <c r="X59" s="2085"/>
    </row>
    <row r="60" spans="1:24" ht="30">
      <c r="A60" s="2112">
        <f t="shared" si="0"/>
        <v>46</v>
      </c>
      <c r="B60" s="1951"/>
      <c r="D60" s="2088">
        <f t="shared" ref="D60" si="3">SUM(D58:D59)</f>
        <v>6628562.1317583919</v>
      </c>
      <c r="E60" s="2126" t="s">
        <v>1235</v>
      </c>
      <c r="F60" s="2123"/>
      <c r="G60" s="1941"/>
      <c r="H60" s="1962"/>
      <c r="I60" s="1962"/>
      <c r="J60" s="1962"/>
      <c r="K60" s="1949"/>
      <c r="L60" s="1949"/>
      <c r="M60" s="2085"/>
      <c r="N60" s="2085"/>
      <c r="O60" s="2085"/>
      <c r="P60" s="2085"/>
      <c r="Q60" s="2085"/>
      <c r="R60" s="2085"/>
      <c r="S60" s="2085"/>
      <c r="T60" s="2085"/>
      <c r="U60" s="2085"/>
      <c r="V60" s="2085"/>
      <c r="W60" s="2085"/>
      <c r="X60" s="2085"/>
    </row>
    <row r="61" spans="1:24" ht="15">
      <c r="A61" s="2112">
        <f>+A60+1</f>
        <v>47</v>
      </c>
      <c r="B61" s="1951"/>
      <c r="D61" s="2085"/>
      <c r="E61" s="2085"/>
      <c r="F61" s="2129"/>
      <c r="G61" s="1941"/>
      <c r="H61" s="1962"/>
      <c r="I61" s="1962"/>
      <c r="J61" s="1962"/>
      <c r="K61" s="1949"/>
      <c r="L61" s="1949"/>
      <c r="M61" s="2085"/>
      <c r="N61" s="2085"/>
      <c r="O61" s="2085"/>
      <c r="P61" s="2085"/>
      <c r="Q61" s="2085"/>
      <c r="R61" s="2085"/>
      <c r="S61" s="2085"/>
      <c r="T61" s="2085"/>
      <c r="U61" s="2085"/>
      <c r="V61" s="2085"/>
      <c r="W61" s="2085"/>
      <c r="X61" s="2085"/>
    </row>
    <row r="62" spans="1:24" ht="15">
      <c r="A62" s="1950">
        <f>+A61+1</f>
        <v>48</v>
      </c>
      <c r="B62" s="1935" t="s">
        <v>255</v>
      </c>
      <c r="D62" s="1959">
        <f>+D40+D46</f>
        <v>-26440475.961557187</v>
      </c>
      <c r="E62" s="1949" t="s">
        <v>1236</v>
      </c>
      <c r="F62" s="2130">
        <f>+F40+F59</f>
        <v>-1762022.8451509648</v>
      </c>
      <c r="G62" s="1960"/>
      <c r="H62" s="1959">
        <f>+H59+H40</f>
        <v>0</v>
      </c>
      <c r="I62" s="1949"/>
      <c r="J62" s="1959">
        <f>SUM(J51:J61)</f>
        <v>6628562.1317583919</v>
      </c>
      <c r="K62" s="2085"/>
      <c r="L62" s="1959">
        <f>SUM(L51:L61)</f>
        <v>-19811913.829798799</v>
      </c>
      <c r="M62" s="2085"/>
      <c r="N62" s="2085"/>
      <c r="O62" s="2085"/>
      <c r="P62" s="2085"/>
      <c r="Q62" s="2085"/>
      <c r="R62" s="2085"/>
      <c r="S62" s="2085"/>
      <c r="T62" s="2085"/>
      <c r="U62" s="2085"/>
      <c r="V62" s="2085"/>
      <c r="W62" s="2085"/>
      <c r="X62" s="2085"/>
    </row>
    <row r="63" spans="1:24" ht="15">
      <c r="A63" s="1950"/>
      <c r="D63" s="1949"/>
      <c r="E63" s="1949"/>
      <c r="F63" s="2131"/>
      <c r="G63" s="1953"/>
      <c r="H63" s="1949"/>
      <c r="I63" s="1949"/>
      <c r="J63" s="1949"/>
      <c r="K63" s="2085"/>
      <c r="L63" s="2132"/>
      <c r="M63" s="2085"/>
      <c r="N63" s="2085"/>
      <c r="O63" s="2085"/>
      <c r="P63" s="2085"/>
      <c r="Q63" s="2085"/>
      <c r="R63" s="2085"/>
      <c r="S63" s="2085"/>
      <c r="T63" s="2085"/>
      <c r="U63" s="2085"/>
      <c r="V63" s="2085"/>
      <c r="W63" s="2085"/>
      <c r="X63" s="2085"/>
    </row>
    <row r="64" spans="1:24" ht="9.9499999999999993" customHeight="1">
      <c r="K64" s="1962"/>
      <c r="L64" s="1944"/>
      <c r="M64" s="2085"/>
      <c r="N64" s="2085"/>
      <c r="O64" s="2085"/>
      <c r="P64" s="2085"/>
      <c r="Q64" s="2085"/>
      <c r="R64" s="2085"/>
      <c r="S64" s="2085"/>
      <c r="T64" s="2085"/>
      <c r="U64" s="2085"/>
      <c r="V64" s="2085"/>
      <c r="W64" s="2085"/>
      <c r="X64" s="2085"/>
    </row>
    <row r="65" spans="1:24" ht="12.75" customHeight="1">
      <c r="B65" s="2235" t="s">
        <v>1053</v>
      </c>
      <c r="C65" s="2235"/>
      <c r="D65" s="2235"/>
      <c r="E65" s="2235"/>
      <c r="F65" s="2235"/>
      <c r="G65" s="2235"/>
      <c r="H65" s="2235"/>
      <c r="I65" s="2235"/>
      <c r="J65" s="2235"/>
      <c r="K65" s="2235"/>
      <c r="L65" s="1944"/>
      <c r="M65" s="2085"/>
      <c r="N65" s="2085"/>
      <c r="O65" s="2085"/>
      <c r="P65" s="2085"/>
      <c r="Q65" s="2085"/>
      <c r="R65" s="2085"/>
      <c r="S65" s="2085"/>
      <c r="T65" s="2085"/>
      <c r="U65" s="2085"/>
      <c r="V65" s="2085"/>
      <c r="W65" s="2085"/>
      <c r="X65" s="2085"/>
    </row>
    <row r="66" spans="1:24" ht="12.75" customHeight="1">
      <c r="B66" s="2235"/>
      <c r="C66" s="2235"/>
      <c r="D66" s="2235"/>
      <c r="E66" s="2235"/>
      <c r="F66" s="2235"/>
      <c r="G66" s="2235"/>
      <c r="H66" s="2235"/>
      <c r="I66" s="2235"/>
      <c r="J66" s="2235"/>
      <c r="K66" s="2235"/>
      <c r="L66" s="1944"/>
      <c r="M66" s="2085"/>
      <c r="N66" s="2085"/>
      <c r="O66" s="2085"/>
      <c r="P66" s="2085"/>
      <c r="Q66" s="2085"/>
      <c r="R66" s="2085"/>
      <c r="S66" s="2085"/>
      <c r="T66" s="2085"/>
      <c r="U66" s="2085"/>
      <c r="V66" s="2085"/>
      <c r="W66" s="2085"/>
      <c r="X66" s="2085"/>
    </row>
    <row r="67" spans="1:24" ht="12.75" customHeight="1">
      <c r="B67" s="2235"/>
      <c r="C67" s="2235"/>
      <c r="D67" s="2235"/>
      <c r="E67" s="2235"/>
      <c r="F67" s="2235"/>
      <c r="G67" s="2235"/>
      <c r="H67" s="2235"/>
      <c r="I67" s="2235"/>
      <c r="J67" s="2235"/>
      <c r="K67" s="2235"/>
      <c r="L67" s="1944"/>
      <c r="M67" s="2085"/>
      <c r="N67" s="2085"/>
      <c r="O67" s="2085"/>
      <c r="P67" s="2085"/>
      <c r="Q67" s="2085"/>
      <c r="R67" s="2085"/>
      <c r="S67" s="2085"/>
      <c r="T67" s="2085"/>
      <c r="U67" s="2085"/>
      <c r="V67" s="2085"/>
      <c r="W67" s="2085"/>
      <c r="X67" s="2085"/>
    </row>
    <row r="68" spans="1:24" ht="12.75" customHeight="1">
      <c r="K68" s="1962"/>
      <c r="L68" s="1944"/>
      <c r="M68" s="2085"/>
      <c r="N68" s="2085"/>
      <c r="O68" s="2085"/>
      <c r="P68" s="2085"/>
      <c r="Q68" s="2085"/>
      <c r="R68" s="2085"/>
      <c r="S68" s="2085"/>
      <c r="T68" s="2085"/>
      <c r="U68" s="2085"/>
      <c r="V68" s="2085"/>
      <c r="W68" s="2085"/>
      <c r="X68" s="2085"/>
    </row>
    <row r="69" spans="1:24" ht="12.75" customHeight="1">
      <c r="A69" s="1963" t="s">
        <v>1054</v>
      </c>
      <c r="B69" s="2236" t="s">
        <v>1055</v>
      </c>
      <c r="C69" s="2236"/>
      <c r="D69" s="2236"/>
      <c r="E69" s="2236"/>
      <c r="F69" s="2236"/>
      <c r="G69" s="2236"/>
      <c r="H69" s="2236"/>
      <c r="I69" s="2236"/>
      <c r="J69" s="2236"/>
      <c r="K69" s="2236"/>
      <c r="L69" s="2236"/>
      <c r="M69" s="2085"/>
      <c r="N69" s="2085"/>
      <c r="O69" s="2085"/>
      <c r="P69" s="2085"/>
      <c r="Q69" s="2085"/>
      <c r="R69" s="2085"/>
      <c r="S69" s="2085"/>
      <c r="T69" s="2085"/>
      <c r="U69" s="2085"/>
      <c r="V69" s="2085"/>
      <c r="W69" s="2085"/>
      <c r="X69" s="2085"/>
    </row>
    <row r="70" spans="1:24" ht="12.75" customHeight="1">
      <c r="A70" s="1964"/>
      <c r="B70" s="2236"/>
      <c r="C70" s="2236"/>
      <c r="D70" s="2236"/>
      <c r="E70" s="2236"/>
      <c r="F70" s="2236"/>
      <c r="G70" s="2236"/>
      <c r="H70" s="2236"/>
      <c r="I70" s="2236"/>
      <c r="J70" s="2236"/>
      <c r="K70" s="2236"/>
      <c r="L70" s="2236"/>
      <c r="M70" s="2085"/>
      <c r="N70" s="2085"/>
      <c r="O70" s="2085"/>
      <c r="P70" s="2085"/>
      <c r="Q70" s="2085"/>
      <c r="R70" s="2085"/>
      <c r="S70" s="2085"/>
      <c r="T70" s="2085"/>
      <c r="U70" s="2085"/>
      <c r="V70" s="2085"/>
      <c r="W70" s="2085"/>
      <c r="X70" s="2085"/>
    </row>
    <row r="71" spans="1:24" ht="12.75" customHeight="1">
      <c r="K71" s="1946"/>
      <c r="L71" s="1948"/>
      <c r="M71" s="2085"/>
      <c r="N71" s="2085"/>
      <c r="O71" s="2085"/>
      <c r="P71" s="2085"/>
      <c r="Q71" s="2085"/>
      <c r="R71" s="2085"/>
      <c r="S71" s="2085"/>
      <c r="T71" s="2085"/>
      <c r="U71" s="2085"/>
      <c r="V71" s="2085"/>
      <c r="W71" s="2085"/>
      <c r="X71" s="2085"/>
    </row>
    <row r="72" spans="1:24" ht="12.6" customHeight="1">
      <c r="A72" s="1935"/>
      <c r="K72" s="1946"/>
      <c r="L72" s="1948"/>
      <c r="M72" s="2085"/>
      <c r="N72" s="2085"/>
      <c r="O72" s="2085"/>
      <c r="P72" s="2085"/>
      <c r="Q72" s="2085"/>
      <c r="R72" s="2085"/>
      <c r="S72" s="2085"/>
      <c r="T72" s="2085"/>
      <c r="U72" s="2085"/>
      <c r="V72" s="2085"/>
      <c r="W72" s="2085"/>
      <c r="X72" s="2085"/>
    </row>
    <row r="73" spans="1:24" ht="15">
      <c r="A73" s="1964" t="s">
        <v>1056</v>
      </c>
      <c r="B73" s="2104" t="s">
        <v>1237</v>
      </c>
      <c r="K73" s="1946"/>
      <c r="L73" s="1948"/>
      <c r="M73" s="2085"/>
      <c r="N73" s="2085"/>
      <c r="O73" s="2085"/>
      <c r="P73" s="2085"/>
      <c r="Q73" s="2085"/>
      <c r="R73" s="2085"/>
      <c r="S73" s="2085"/>
      <c r="T73" s="2085"/>
      <c r="U73" s="2085"/>
      <c r="V73" s="2085"/>
      <c r="W73" s="2085"/>
      <c r="X73" s="2085"/>
    </row>
    <row r="74" spans="1:24" ht="15">
      <c r="A74" s="1964"/>
      <c r="E74" s="1966"/>
      <c r="H74" s="1946"/>
      <c r="I74" s="1946"/>
      <c r="J74" s="1946"/>
      <c r="K74" s="1946"/>
      <c r="M74" s="2085"/>
      <c r="N74" s="2085"/>
      <c r="O74" s="2085"/>
      <c r="P74" s="2085"/>
      <c r="Q74" s="2085"/>
      <c r="R74" s="2085"/>
      <c r="S74" s="2085"/>
      <c r="T74" s="2085"/>
      <c r="U74" s="2085"/>
      <c r="V74" s="2085"/>
      <c r="W74" s="2085"/>
      <c r="X74" s="2085"/>
    </row>
    <row r="75" spans="1:24" ht="12.75" customHeight="1">
      <c r="A75" s="2105" t="s">
        <v>1058</v>
      </c>
      <c r="B75" s="2105" t="s">
        <v>1211</v>
      </c>
      <c r="C75" s="2106"/>
      <c r="D75" s="2106"/>
      <c r="E75" s="2106"/>
      <c r="F75" s="2106"/>
      <c r="G75" s="2106"/>
      <c r="H75" s="2106"/>
      <c r="I75" s="2106"/>
      <c r="J75" s="2106"/>
      <c r="K75" s="1946"/>
      <c r="L75" s="1948"/>
      <c r="M75" s="2085"/>
      <c r="N75" s="2085"/>
      <c r="O75" s="2085"/>
      <c r="P75" s="2085"/>
      <c r="Q75" s="2085"/>
      <c r="R75" s="2085"/>
      <c r="S75" s="2085"/>
      <c r="T75" s="2085"/>
      <c r="U75" s="2085"/>
      <c r="V75" s="2085"/>
      <c r="W75" s="2085"/>
      <c r="X75" s="2085"/>
    </row>
    <row r="76" spans="1:24" ht="12.75" customHeight="1">
      <c r="A76" s="1935"/>
      <c r="C76" s="2106"/>
      <c r="D76" s="2106"/>
      <c r="E76" s="2106"/>
      <c r="F76" s="2106"/>
      <c r="G76" s="2106"/>
      <c r="H76" s="2106"/>
      <c r="I76" s="2106"/>
      <c r="J76" s="2106"/>
      <c r="K76" s="1946"/>
      <c r="L76" s="1948"/>
      <c r="M76" s="2085"/>
      <c r="N76" s="2085"/>
      <c r="O76" s="2085"/>
      <c r="P76" s="2085"/>
      <c r="Q76" s="2085"/>
      <c r="R76" s="2085"/>
      <c r="S76" s="2085"/>
      <c r="T76" s="2085"/>
      <c r="U76" s="2085"/>
      <c r="V76" s="2085"/>
      <c r="W76" s="2085"/>
      <c r="X76" s="2085"/>
    </row>
    <row r="77" spans="1:24" ht="12.75" customHeight="1">
      <c r="A77" s="1935" t="s">
        <v>1060</v>
      </c>
      <c r="B77" s="2104" t="s">
        <v>1061</v>
      </c>
      <c r="C77" s="2106"/>
      <c r="D77" s="2106"/>
      <c r="E77" s="2106"/>
      <c r="F77" s="2106"/>
      <c r="G77" s="2106"/>
      <c r="H77" s="2106"/>
      <c r="I77" s="2106"/>
      <c r="J77" s="2106"/>
      <c r="K77" s="1946"/>
      <c r="L77" s="1948"/>
      <c r="M77" s="2085"/>
      <c r="N77" s="2085"/>
      <c r="O77" s="2085"/>
      <c r="P77" s="2085"/>
      <c r="Q77" s="2085"/>
      <c r="R77" s="2085"/>
      <c r="S77" s="2085"/>
      <c r="T77" s="2085"/>
      <c r="U77" s="2085"/>
      <c r="V77" s="2085"/>
      <c r="W77" s="2085"/>
      <c r="X77" s="2085"/>
    </row>
    <row r="78" spans="1:24" ht="12.75" customHeight="1">
      <c r="A78" s="1935"/>
      <c r="C78" s="2106"/>
      <c r="D78" s="2106"/>
      <c r="E78" s="2106"/>
      <c r="F78" s="2106"/>
      <c r="G78" s="2106"/>
      <c r="H78" s="2106"/>
      <c r="I78" s="2106"/>
      <c r="J78" s="2106"/>
      <c r="K78" s="1946"/>
      <c r="L78" s="1948"/>
      <c r="M78" s="2085"/>
      <c r="N78" s="2085"/>
      <c r="O78" s="2085"/>
      <c r="P78" s="2085"/>
      <c r="Q78" s="2085"/>
      <c r="R78" s="2085"/>
      <c r="S78" s="2085"/>
      <c r="T78" s="2085"/>
      <c r="U78" s="2085"/>
      <c r="V78" s="2085"/>
      <c r="W78" s="2085"/>
      <c r="X78" s="2085"/>
    </row>
    <row r="79" spans="1:24" ht="12.75" customHeight="1">
      <c r="A79" s="2106"/>
      <c r="B79" s="2106"/>
      <c r="C79" s="2106"/>
      <c r="D79" s="2106"/>
      <c r="E79" s="2106"/>
      <c r="F79" s="2106"/>
      <c r="G79" s="2106"/>
      <c r="H79" s="2106"/>
      <c r="I79" s="2106"/>
      <c r="J79" s="2106"/>
      <c r="K79" s="1946"/>
      <c r="L79" s="1948"/>
      <c r="M79" s="2085"/>
      <c r="N79" s="2085"/>
      <c r="O79" s="2085"/>
      <c r="P79" s="2085"/>
      <c r="Q79" s="2085"/>
      <c r="R79" s="2085"/>
      <c r="S79" s="2085"/>
      <c r="T79" s="2085"/>
      <c r="U79" s="2085"/>
      <c r="V79" s="2085"/>
      <c r="W79" s="2085"/>
      <c r="X79" s="2085"/>
    </row>
    <row r="80" spans="1:24" ht="12.75" customHeight="1">
      <c r="A80" s="2106"/>
      <c r="B80" s="2106"/>
      <c r="C80" s="2106"/>
      <c r="D80" s="2106"/>
      <c r="E80" s="2106"/>
      <c r="F80" s="2106"/>
      <c r="G80" s="2106"/>
      <c r="H80" s="2106"/>
      <c r="I80" s="2106"/>
      <c r="J80" s="2106"/>
      <c r="K80" s="1946"/>
      <c r="L80" s="1948"/>
      <c r="M80" s="2085"/>
      <c r="N80" s="2085"/>
      <c r="O80" s="2085"/>
      <c r="P80" s="2085"/>
      <c r="Q80" s="2085"/>
      <c r="R80" s="2085"/>
      <c r="S80" s="2085"/>
      <c r="T80" s="2085"/>
      <c r="U80" s="2085"/>
      <c r="V80" s="2085"/>
      <c r="W80" s="2085"/>
      <c r="X80" s="2085"/>
    </row>
    <row r="81" spans="1:24" ht="12.75" customHeight="1">
      <c r="A81" s="2062"/>
      <c r="B81" s="1946"/>
      <c r="C81" s="1946"/>
      <c r="D81" s="1946"/>
      <c r="E81" s="1946"/>
      <c r="G81" s="1946"/>
      <c r="H81" s="1946"/>
      <c r="I81" s="1946"/>
      <c r="J81" s="1946"/>
      <c r="K81" s="1946"/>
      <c r="L81" s="1948"/>
      <c r="M81" s="2085"/>
      <c r="N81" s="2085"/>
      <c r="O81" s="2085"/>
      <c r="P81" s="2085"/>
      <c r="Q81" s="2085"/>
      <c r="R81" s="2085"/>
      <c r="S81" s="2085"/>
      <c r="T81" s="2085"/>
      <c r="U81" s="2085"/>
      <c r="V81" s="2085"/>
      <c r="W81" s="2085"/>
      <c r="X81" s="2085"/>
    </row>
    <row r="82" spans="1:24" ht="12.75" customHeight="1">
      <c r="A82" s="2062"/>
      <c r="B82" s="1946"/>
      <c r="C82" s="1946"/>
      <c r="D82" s="1946"/>
      <c r="E82" s="1946"/>
      <c r="G82" s="1946"/>
      <c r="H82" s="1946"/>
      <c r="I82" s="1946"/>
      <c r="J82" s="1946"/>
      <c r="K82" s="1946"/>
      <c r="L82" s="1948"/>
      <c r="M82" s="2085"/>
      <c r="N82" s="2085"/>
      <c r="O82" s="2085"/>
      <c r="P82" s="2085"/>
      <c r="Q82" s="2085"/>
      <c r="R82" s="2085"/>
      <c r="S82" s="2085"/>
      <c r="T82" s="2085"/>
      <c r="U82" s="2085"/>
      <c r="V82" s="2085"/>
      <c r="W82" s="2085"/>
      <c r="X82" s="2085"/>
    </row>
    <row r="83" spans="1:24" ht="12.75" customHeight="1">
      <c r="A83" s="2062"/>
      <c r="B83" s="1946"/>
      <c r="C83" s="1946"/>
      <c r="D83" s="1946"/>
      <c r="E83" s="1946"/>
      <c r="G83" s="1946"/>
      <c r="H83" s="1946"/>
      <c r="I83" s="1946"/>
      <c r="J83" s="1946"/>
      <c r="K83" s="1946"/>
      <c r="L83" s="1948"/>
      <c r="M83" s="2085"/>
      <c r="N83" s="2085"/>
      <c r="O83" s="2085"/>
      <c r="P83" s="2085"/>
      <c r="Q83" s="2085"/>
      <c r="R83" s="2085"/>
      <c r="S83" s="2085"/>
      <c r="T83" s="2085"/>
      <c r="U83" s="2085"/>
      <c r="V83" s="2085"/>
      <c r="W83" s="2085"/>
      <c r="X83" s="2085"/>
    </row>
    <row r="84" spans="1:24" ht="12.75" customHeight="1">
      <c r="A84" s="2062"/>
      <c r="B84" s="1946"/>
      <c r="C84" s="1946"/>
      <c r="D84" s="1946"/>
      <c r="E84" s="1946"/>
      <c r="G84" s="1946"/>
      <c r="H84" s="1946"/>
      <c r="I84" s="1946"/>
      <c r="J84" s="1946"/>
      <c r="K84" s="1946"/>
    </row>
    <row r="85" spans="1:24" ht="12.75" customHeight="1"/>
  </sheetData>
  <mergeCells count="3">
    <mergeCell ref="A7:L7"/>
    <mergeCell ref="B65:K67"/>
    <mergeCell ref="B69:L70"/>
  </mergeCells>
  <pageMargins left="0.7" right="0.7" top="0.75" bottom="0.75" header="0.3" footer="0.3"/>
  <pageSetup scale="44"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95"/>
  <sheetViews>
    <sheetView zoomScale="81" zoomScaleNormal="81" zoomScaleSheetLayoutView="80" zoomScalePageLayoutView="70" workbookViewId="0">
      <selection activeCell="Q53" activeCellId="1" sqref="AC53 Q53"/>
    </sheetView>
  </sheetViews>
  <sheetFormatPr defaultColWidth="11.42578125" defaultRowHeight="12.75"/>
  <cols>
    <col min="1" max="1" width="12.5703125" style="711" customWidth="1"/>
    <col min="2" max="2" width="15.42578125" style="648" customWidth="1"/>
    <col min="3" max="3" width="42.28515625" style="648" customWidth="1"/>
    <col min="4" max="4" width="22.28515625" style="648" customWidth="1"/>
    <col min="5" max="5" width="21" style="648" customWidth="1"/>
    <col min="6" max="6" width="1" style="648" customWidth="1"/>
    <col min="7" max="7" width="24" style="648" customWidth="1"/>
    <col min="8" max="8" width="1" style="648" customWidth="1"/>
    <col min="9" max="9" width="19.28515625" style="648" customWidth="1"/>
    <col min="10" max="10" width="16.7109375" style="648" customWidth="1"/>
    <col min="11" max="11" width="49.7109375" style="648" customWidth="1"/>
    <col min="12" max="13" width="13.42578125" style="648" customWidth="1"/>
    <col min="14" max="14" width="31" style="648" customWidth="1"/>
    <col min="15" max="15" width="29.28515625" style="648" customWidth="1"/>
    <col min="16" max="16" width="20.28515625" style="648" customWidth="1"/>
    <col min="17" max="29" width="14.28515625" style="648" customWidth="1"/>
    <col min="30" max="16384" width="11.42578125" style="648"/>
  </cols>
  <sheetData>
    <row r="1" spans="1:31" ht="15">
      <c r="A1" s="647"/>
      <c r="K1" s="649"/>
      <c r="M1" s="647"/>
      <c r="AC1" s="649"/>
    </row>
    <row r="2" spans="1:31" ht="15">
      <c r="A2" s="2186" t="str">
        <f>+'OKT TCOS'!F4</f>
        <v xml:space="preserve">AEP West SPP Member Transmission Companies </v>
      </c>
      <c r="B2" s="2186"/>
      <c r="C2" s="2186"/>
      <c r="D2" s="2186"/>
      <c r="E2" s="2186"/>
      <c r="F2" s="2186"/>
      <c r="G2" s="2186"/>
      <c r="H2" s="2186"/>
      <c r="I2" s="2186"/>
      <c r="J2" s="2186"/>
      <c r="K2" s="2186"/>
      <c r="L2" s="650"/>
      <c r="M2" s="2186" t="str">
        <f>+A2</f>
        <v xml:space="preserve">AEP West SPP Member Transmission Companies </v>
      </c>
      <c r="N2" s="2186"/>
      <c r="O2" s="2186"/>
      <c r="P2" s="2186"/>
      <c r="Q2" s="2186"/>
      <c r="R2" s="2186"/>
      <c r="S2" s="2186"/>
      <c r="T2" s="2186"/>
      <c r="U2" s="2186"/>
      <c r="V2" s="2186"/>
      <c r="W2" s="2186"/>
      <c r="X2" s="2186"/>
      <c r="Y2" s="2186"/>
    </row>
    <row r="3" spans="1:31" ht="15">
      <c r="A3" s="2186" t="str">
        <f>+'OKT WS A-1 - Plant'!A3</f>
        <v xml:space="preserve">Actual / Projected 2022 Rate Year Cost of Service Formula Rate </v>
      </c>
      <c r="B3" s="2186"/>
      <c r="C3" s="2186"/>
      <c r="D3" s="2186"/>
      <c r="E3" s="2186"/>
      <c r="F3" s="2186"/>
      <c r="G3" s="2186"/>
      <c r="H3" s="2186"/>
      <c r="I3" s="2186"/>
      <c r="J3" s="2186"/>
      <c r="K3" s="2186"/>
      <c r="L3" s="651"/>
      <c r="M3" s="2186" t="str">
        <f>+A3</f>
        <v xml:space="preserve">Actual / Projected 2022 Rate Year Cost of Service Formula Rate </v>
      </c>
      <c r="N3" s="2186"/>
      <c r="O3" s="2186"/>
      <c r="P3" s="2186"/>
      <c r="Q3" s="2186"/>
      <c r="R3" s="2186"/>
      <c r="S3" s="2186"/>
      <c r="T3" s="2186"/>
      <c r="U3" s="2186"/>
      <c r="V3" s="2186"/>
      <c r="W3" s="2186"/>
      <c r="X3" s="2186"/>
      <c r="Y3" s="2186"/>
    </row>
    <row r="4" spans="1:31" ht="15.75">
      <c r="A4" s="2187" t="s">
        <v>880</v>
      </c>
      <c r="B4" s="2186"/>
      <c r="C4" s="2186"/>
      <c r="D4" s="2186"/>
      <c r="E4" s="2186"/>
      <c r="F4" s="2186"/>
      <c r="G4" s="2186"/>
      <c r="H4" s="2186"/>
      <c r="I4" s="2186"/>
      <c r="J4" s="2186"/>
      <c r="K4" s="2186"/>
      <c r="L4" s="652"/>
      <c r="M4" s="2186" t="str">
        <f>+A4</f>
        <v>Worksheet D - Materials and Supplies and Prepayments</v>
      </c>
      <c r="N4" s="2186"/>
      <c r="O4" s="2186"/>
      <c r="P4" s="2186"/>
      <c r="Q4" s="2186"/>
      <c r="R4" s="2186"/>
      <c r="S4" s="2186"/>
      <c r="T4" s="2186"/>
      <c r="U4" s="2186"/>
      <c r="V4" s="2186"/>
      <c r="W4" s="2186"/>
      <c r="X4" s="2186"/>
      <c r="Y4" s="2186"/>
    </row>
    <row r="5" spans="1:31" ht="15.75">
      <c r="A5" s="2243" t="str">
        <f>+'OKT TCOS'!F8</f>
        <v>AEP OKLAHOMA TRANSMISSION COMPANY, INC.</v>
      </c>
      <c r="B5" s="2243"/>
      <c r="C5" s="2243"/>
      <c r="D5" s="2243"/>
      <c r="E5" s="2243"/>
      <c r="F5" s="2243"/>
      <c r="G5" s="2243"/>
      <c r="H5" s="2243"/>
      <c r="I5" s="2243"/>
      <c r="J5" s="2243"/>
      <c r="K5" s="2243"/>
      <c r="L5" s="110"/>
      <c r="M5" s="2187" t="str">
        <f>+A5</f>
        <v>AEP OKLAHOMA TRANSMISSION COMPANY, INC.</v>
      </c>
      <c r="N5" s="2187"/>
      <c r="O5" s="2187"/>
      <c r="P5" s="2187"/>
      <c r="Q5" s="2187"/>
      <c r="R5" s="2187"/>
      <c r="S5" s="2187"/>
      <c r="T5" s="2187"/>
      <c r="U5" s="2187"/>
      <c r="V5" s="2187"/>
      <c r="W5" s="2187"/>
      <c r="X5" s="2187"/>
      <c r="Y5" s="2187"/>
    </row>
    <row r="6" spans="1:31" ht="15">
      <c r="A6" s="110"/>
      <c r="B6" s="110"/>
      <c r="C6" s="110"/>
      <c r="D6" s="110"/>
      <c r="E6" s="110"/>
      <c r="F6" s="110"/>
      <c r="G6" s="110"/>
      <c r="H6" s="653"/>
      <c r="I6" s="654"/>
      <c r="J6" s="654"/>
      <c r="K6" s="654"/>
      <c r="L6" s="654"/>
      <c r="M6" s="110"/>
      <c r="N6" s="110"/>
      <c r="O6" s="110"/>
      <c r="P6" s="110"/>
      <c r="Q6" s="110"/>
      <c r="R6" s="110"/>
      <c r="S6" s="110"/>
      <c r="T6" s="110"/>
      <c r="U6" s="653"/>
      <c r="V6" s="654"/>
      <c r="W6" s="654"/>
      <c r="X6" s="654"/>
      <c r="Y6" s="654"/>
    </row>
    <row r="7" spans="1:31" ht="12.75" customHeight="1">
      <c r="A7" s="655"/>
      <c r="B7" s="655" t="s">
        <v>298</v>
      </c>
      <c r="C7" s="655" t="s">
        <v>299</v>
      </c>
      <c r="D7" s="655" t="s">
        <v>202</v>
      </c>
      <c r="E7" s="655" t="s">
        <v>301</v>
      </c>
      <c r="F7" s="655"/>
      <c r="G7" s="655" t="s">
        <v>226</v>
      </c>
      <c r="H7" s="655"/>
      <c r="I7" s="655" t="s">
        <v>227</v>
      </c>
      <c r="J7" s="655" t="s">
        <v>228</v>
      </c>
      <c r="K7" s="655" t="s">
        <v>233</v>
      </c>
      <c r="L7" s="655"/>
      <c r="M7" s="655" t="s">
        <v>298</v>
      </c>
      <c r="N7" s="655" t="s">
        <v>299</v>
      </c>
      <c r="O7" s="655" t="s">
        <v>202</v>
      </c>
      <c r="P7" s="655" t="s">
        <v>301</v>
      </c>
      <c r="Q7" s="655" t="s">
        <v>226</v>
      </c>
      <c r="R7" s="655" t="s">
        <v>227</v>
      </c>
      <c r="S7" s="655" t="s">
        <v>228</v>
      </c>
      <c r="T7" s="655" t="s">
        <v>233</v>
      </c>
      <c r="U7" s="655" t="s">
        <v>174</v>
      </c>
      <c r="V7" s="655" t="s">
        <v>73</v>
      </c>
      <c r="W7" s="655" t="s">
        <v>828</v>
      </c>
      <c r="X7" s="655" t="s">
        <v>551</v>
      </c>
      <c r="Y7" s="655" t="s">
        <v>552</v>
      </c>
      <c r="Z7" s="655" t="s">
        <v>829</v>
      </c>
      <c r="AA7" s="655" t="s">
        <v>553</v>
      </c>
      <c r="AB7" s="655" t="s">
        <v>831</v>
      </c>
      <c r="AC7" s="655" t="s">
        <v>834</v>
      </c>
    </row>
    <row r="8" spans="1:31">
      <c r="A8" s="656"/>
      <c r="M8" s="656"/>
    </row>
    <row r="9" spans="1:31" ht="18">
      <c r="A9" s="656"/>
      <c r="B9" s="2240" t="s">
        <v>343</v>
      </c>
      <c r="C9" s="2240"/>
      <c r="D9" s="2240"/>
      <c r="E9" s="2240"/>
      <c r="F9" s="2240"/>
      <c r="G9" s="2240"/>
      <c r="H9" s="2240"/>
      <c r="I9" s="2240"/>
      <c r="J9" s="2240"/>
      <c r="K9" s="2240"/>
      <c r="M9" s="2240" t="s">
        <v>343</v>
      </c>
      <c r="N9" s="2240"/>
      <c r="O9" s="2240"/>
      <c r="P9" s="2240"/>
      <c r="Q9" s="2240"/>
      <c r="R9" s="2240"/>
      <c r="S9" s="2240"/>
      <c r="T9" s="2240"/>
      <c r="U9" s="2240"/>
      <c r="V9" s="2240"/>
      <c r="W9" s="2240"/>
      <c r="X9" s="2240"/>
      <c r="Y9" s="2240"/>
      <c r="Z9" s="2240"/>
      <c r="AA9" s="2240"/>
      <c r="AB9" s="2240"/>
      <c r="AC9" s="2240"/>
    </row>
    <row r="10" spans="1:31">
      <c r="A10" s="656"/>
      <c r="I10" s="589"/>
      <c r="J10" s="589"/>
    </row>
    <row r="11" spans="1:31" ht="30" customHeight="1">
      <c r="A11" s="510"/>
      <c r="B11" s="657"/>
      <c r="C11" s="658"/>
      <c r="D11" s="659"/>
      <c r="E11" s="131"/>
      <c r="F11" s="131"/>
      <c r="G11" s="2241" t="str">
        <f>"13 Month Average Balance for Rate Year "</f>
        <v xml:space="preserve">13 Month Average Balance for Rate Year </v>
      </c>
      <c r="H11" s="660"/>
      <c r="J11" s="589"/>
      <c r="K11" s="661"/>
      <c r="L11" s="510"/>
      <c r="M11" s="662"/>
      <c r="N11" s="662"/>
      <c r="O11" s="662"/>
      <c r="P11" s="662"/>
      <c r="Q11" s="2238" t="s">
        <v>827</v>
      </c>
      <c r="R11" s="2238"/>
      <c r="S11" s="2238"/>
      <c r="T11" s="2238"/>
      <c r="U11" s="2238"/>
      <c r="V11" s="2238"/>
      <c r="W11" s="2238"/>
      <c r="X11" s="2238"/>
      <c r="Y11" s="2238"/>
      <c r="Z11" s="2238"/>
      <c r="AA11" s="2238"/>
      <c r="AB11" s="2238"/>
      <c r="AC11" s="2238"/>
    </row>
    <row r="12" spans="1:31" ht="25.5">
      <c r="A12" s="663" t="s">
        <v>830</v>
      </c>
      <c r="B12" s="664"/>
      <c r="C12" s="657"/>
      <c r="D12" s="665" t="s">
        <v>342</v>
      </c>
      <c r="E12" s="131"/>
      <c r="F12" s="131"/>
      <c r="G12" s="2242"/>
      <c r="H12" s="666"/>
      <c r="J12" s="589"/>
      <c r="K12" s="667"/>
      <c r="L12" s="510" t="s">
        <v>830</v>
      </c>
      <c r="M12" s="510" t="s">
        <v>303</v>
      </c>
      <c r="N12" s="662"/>
      <c r="O12" s="668" t="s">
        <v>835</v>
      </c>
      <c r="P12" s="1908" t="s">
        <v>1013</v>
      </c>
      <c r="Q12" s="669" t="str">
        <f>"December "&amp;'OKT TCOS'!$N$2-1</f>
        <v>December 2021</v>
      </c>
      <c r="R12" s="669" t="str">
        <f>"January "&amp;'OKT TCOS'!$N$2</f>
        <v>January 2022</v>
      </c>
      <c r="S12" s="669" t="str">
        <f>"February "&amp;'OKT TCOS'!$N$2</f>
        <v>February 2022</v>
      </c>
      <c r="T12" s="669" t="str">
        <f>"March "&amp;'OKT TCOS'!$N$2</f>
        <v>March 2022</v>
      </c>
      <c r="U12" s="669" t="str">
        <f>"April "&amp;'OKT TCOS'!$N$2</f>
        <v>April 2022</v>
      </c>
      <c r="V12" s="669" t="str">
        <f>"May "&amp;'OKT TCOS'!$N$2</f>
        <v>May 2022</v>
      </c>
      <c r="W12" s="669" t="str">
        <f>"June "&amp;'OKT TCOS'!$N$2</f>
        <v>June 2022</v>
      </c>
      <c r="X12" s="669" t="str">
        <f>"July "&amp;'OKT TCOS'!$N$2</f>
        <v>July 2022</v>
      </c>
      <c r="Y12" s="669" t="str">
        <f>"August "&amp;'OKT TCOS'!$N$2</f>
        <v>August 2022</v>
      </c>
      <c r="Z12" s="669" t="str">
        <f>"September "&amp;'OKT TCOS'!$N$2</f>
        <v>September 2022</v>
      </c>
      <c r="AA12" s="669" t="str">
        <f>"October "&amp;'OKT TCOS'!$N$2</f>
        <v>October 2022</v>
      </c>
      <c r="AB12" s="669" t="str">
        <f>"November "&amp;'OKT TCOS'!$N$2</f>
        <v>November 2022</v>
      </c>
      <c r="AC12" s="669" t="str">
        <f>"December "&amp;'OKT TCOS'!$N$2</f>
        <v>December 2022</v>
      </c>
    </row>
    <row r="13" spans="1:31">
      <c r="A13" s="664"/>
      <c r="B13" s="664"/>
      <c r="C13" s="657"/>
      <c r="D13" s="654"/>
      <c r="E13" s="131"/>
      <c r="F13" s="131"/>
      <c r="H13" s="670"/>
      <c r="J13" s="589"/>
      <c r="K13" s="667"/>
      <c r="L13" s="662"/>
      <c r="M13" s="662"/>
      <c r="N13" s="662"/>
      <c r="O13" s="662"/>
      <c r="P13" s="662"/>
      <c r="Q13" s="662"/>
    </row>
    <row r="14" spans="1:31">
      <c r="A14" s="664"/>
      <c r="B14" s="664"/>
      <c r="D14" s="515"/>
      <c r="E14" s="131"/>
      <c r="F14" s="131"/>
      <c r="G14" s="500"/>
      <c r="H14" s="500"/>
      <c r="K14" s="500"/>
      <c r="L14" s="662"/>
      <c r="M14" s="662"/>
      <c r="N14" s="662"/>
      <c r="O14" s="662"/>
      <c r="P14" s="662"/>
      <c r="Q14" s="662"/>
    </row>
    <row r="15" spans="1:31">
      <c r="A15" s="664"/>
      <c r="B15" s="664"/>
      <c r="C15" s="515"/>
      <c r="D15" s="515"/>
      <c r="E15" s="131"/>
      <c r="F15" s="131"/>
      <c r="G15" s="500"/>
      <c r="H15" s="500"/>
      <c r="K15" s="500"/>
      <c r="L15" s="662"/>
      <c r="M15" s="662"/>
      <c r="N15" s="662"/>
      <c r="O15" s="662"/>
      <c r="P15" s="671"/>
      <c r="Q15" s="662"/>
    </row>
    <row r="16" spans="1:31">
      <c r="A16" s="664">
        <v>1</v>
      </c>
      <c r="B16" s="664"/>
      <c r="C16" s="515" t="s">
        <v>192</v>
      </c>
      <c r="D16" s="672" t="s">
        <v>882</v>
      </c>
      <c r="E16" s="131"/>
      <c r="F16" s="131"/>
      <c r="G16" s="673">
        <f>+P16</f>
        <v>0</v>
      </c>
      <c r="H16" s="500"/>
      <c r="K16" s="500"/>
      <c r="L16" s="662">
        <v>1</v>
      </c>
      <c r="M16" s="515" t="s">
        <v>192</v>
      </c>
      <c r="O16" s="674" t="s">
        <v>130</v>
      </c>
      <c r="P16" s="1895">
        <f>+SUM(Q16:AC16)/13</f>
        <v>0</v>
      </c>
      <c r="Q16" s="559">
        <v>0</v>
      </c>
      <c r="R16" s="559">
        <v>0</v>
      </c>
      <c r="S16" s="559">
        <v>0</v>
      </c>
      <c r="T16" s="559">
        <v>0</v>
      </c>
      <c r="U16" s="559">
        <v>0</v>
      </c>
      <c r="V16" s="559">
        <v>0</v>
      </c>
      <c r="W16" s="559">
        <v>0</v>
      </c>
      <c r="X16" s="559">
        <v>0</v>
      </c>
      <c r="Y16" s="559">
        <v>0</v>
      </c>
      <c r="Z16" s="559">
        <v>0</v>
      </c>
      <c r="AA16" s="559">
        <v>0</v>
      </c>
      <c r="AB16" s="559">
        <v>0</v>
      </c>
      <c r="AC16" s="559">
        <v>0</v>
      </c>
      <c r="AD16"/>
      <c r="AE16"/>
    </row>
    <row r="17" spans="1:31">
      <c r="A17" s="664">
        <f>+A16+1</f>
        <v>2</v>
      </c>
      <c r="B17" s="664"/>
      <c r="C17" s="515" t="s">
        <v>193</v>
      </c>
      <c r="D17" s="672" t="s">
        <v>884</v>
      </c>
      <c r="E17" s="131"/>
      <c r="F17" s="131"/>
      <c r="G17" s="673">
        <f>+P17</f>
        <v>0</v>
      </c>
      <c r="H17" s="670"/>
      <c r="J17" s="589"/>
      <c r="K17" s="667"/>
      <c r="L17" s="664">
        <f>+L16+1</f>
        <v>2</v>
      </c>
      <c r="M17" s="515" t="s">
        <v>193</v>
      </c>
      <c r="O17" s="674" t="s">
        <v>131</v>
      </c>
      <c r="P17" s="1895">
        <f>+SUM(Q17:AC17)/13</f>
        <v>0</v>
      </c>
      <c r="Q17" s="566">
        <v>0</v>
      </c>
      <c r="R17" s="566"/>
      <c r="S17" s="566"/>
      <c r="T17" s="566"/>
      <c r="U17" s="566"/>
      <c r="V17" s="566"/>
      <c r="W17" s="566"/>
      <c r="X17" s="566"/>
      <c r="Y17" s="566"/>
      <c r="Z17" s="566"/>
      <c r="AA17" s="566"/>
      <c r="AB17" s="566"/>
      <c r="AC17" s="566">
        <v>0</v>
      </c>
      <c r="AD17"/>
      <c r="AE17"/>
    </row>
    <row r="18" spans="1:31">
      <c r="A18" s="664">
        <f>+A17+1</f>
        <v>3</v>
      </c>
      <c r="B18" s="664"/>
      <c r="C18" s="676" t="s">
        <v>881</v>
      </c>
      <c r="D18" s="672" t="s">
        <v>883</v>
      </c>
      <c r="E18" s="131"/>
      <c r="F18" s="131"/>
      <c r="G18" s="673">
        <f>+P18</f>
        <v>0</v>
      </c>
      <c r="H18" s="670"/>
      <c r="J18" s="589"/>
      <c r="K18" s="667"/>
      <c r="L18" s="664">
        <f>+L17+1</f>
        <v>3</v>
      </c>
      <c r="M18" s="676" t="s">
        <v>881</v>
      </c>
      <c r="O18" s="674" t="s">
        <v>132</v>
      </c>
      <c r="P18" s="1895">
        <f>+SUM(Q18:AC18)/13</f>
        <v>0</v>
      </c>
      <c r="Q18" s="566">
        <v>0</v>
      </c>
      <c r="R18" s="566"/>
      <c r="S18" s="566"/>
      <c r="T18" s="566"/>
      <c r="U18" s="566"/>
      <c r="V18" s="566"/>
      <c r="W18" s="566"/>
      <c r="X18" s="566"/>
      <c r="Y18" s="566"/>
      <c r="Z18" s="566"/>
      <c r="AA18" s="566"/>
      <c r="AB18" s="566"/>
      <c r="AC18" s="566">
        <v>0</v>
      </c>
      <c r="AD18"/>
      <c r="AE18"/>
    </row>
    <row r="19" spans="1:31">
      <c r="A19" s="648"/>
      <c r="G19" s="673"/>
      <c r="K19" s="667"/>
      <c r="M19" s="662"/>
      <c r="N19" s="662"/>
      <c r="O19" s="662"/>
      <c r="P19" s="671"/>
      <c r="Q19" s="662"/>
      <c r="R19" s="662"/>
      <c r="S19" s="662"/>
      <c r="T19" s="662"/>
      <c r="U19" s="662"/>
      <c r="V19" s="662"/>
      <c r="W19" s="662"/>
      <c r="X19" s="662"/>
      <c r="Y19" s="662"/>
      <c r="Z19" s="662"/>
      <c r="AA19" s="662"/>
      <c r="AB19" s="662"/>
      <c r="AD19"/>
      <c r="AE19"/>
    </row>
    <row r="20" spans="1:31" ht="18">
      <c r="A20" s="664"/>
      <c r="B20" s="2239" t="s">
        <v>826</v>
      </c>
      <c r="C20" s="2239"/>
      <c r="D20" s="2239"/>
      <c r="E20" s="2239"/>
      <c r="F20" s="2239"/>
      <c r="G20" s="2239"/>
      <c r="H20" s="2239"/>
      <c r="I20" s="2239"/>
      <c r="J20" s="2239"/>
      <c r="K20" s="2239"/>
      <c r="L20" s="664"/>
      <c r="M20" s="662"/>
      <c r="N20" s="662"/>
      <c r="O20" s="662"/>
      <c r="P20" s="662"/>
      <c r="Q20" s="662"/>
      <c r="AD20"/>
      <c r="AE20"/>
    </row>
    <row r="21" spans="1:31" ht="25.5" customHeight="1">
      <c r="A21" s="664"/>
      <c r="B21" s="506"/>
      <c r="C21" s="500"/>
      <c r="D21" s="500"/>
      <c r="E21" s="508"/>
      <c r="G21" s="508" t="s">
        <v>229</v>
      </c>
      <c r="I21" s="506"/>
      <c r="J21" s="506"/>
      <c r="K21" s="493"/>
      <c r="L21" s="664"/>
      <c r="M21" s="2239" t="s">
        <v>826</v>
      </c>
      <c r="N21" s="2239"/>
      <c r="O21" s="2239"/>
      <c r="P21" s="2239"/>
      <c r="Q21" s="2239"/>
      <c r="R21" s="2239"/>
      <c r="S21" s="2239"/>
      <c r="T21" s="2239"/>
      <c r="U21" s="2239"/>
      <c r="V21" s="2239"/>
      <c r="W21" s="2239"/>
      <c r="X21" s="2239"/>
      <c r="Y21" s="2239"/>
      <c r="Z21" s="2239"/>
      <c r="AA21" s="2239"/>
      <c r="AB21" s="2239"/>
      <c r="AC21" s="2239"/>
      <c r="AD21"/>
      <c r="AE21"/>
    </row>
    <row r="22" spans="1:31" ht="25.5">
      <c r="A22" s="664"/>
      <c r="B22" s="677"/>
      <c r="C22" s="678"/>
      <c r="D22" s="1894" t="s">
        <v>1010</v>
      </c>
      <c r="E22" s="506" t="s">
        <v>195</v>
      </c>
      <c r="G22" s="506" t="s">
        <v>252</v>
      </c>
      <c r="I22" s="506" t="s">
        <v>190</v>
      </c>
      <c r="J22" s="506" t="s">
        <v>297</v>
      </c>
      <c r="K22" s="493"/>
      <c r="L22" s="664"/>
      <c r="M22" s="679" t="s">
        <v>833</v>
      </c>
      <c r="N22" s="662"/>
      <c r="O22" s="662"/>
      <c r="P22" s="662"/>
      <c r="Q22" s="2238" t="s">
        <v>827</v>
      </c>
      <c r="R22" s="2238"/>
      <c r="S22" s="2238"/>
      <c r="T22" s="2238"/>
      <c r="U22" s="2238"/>
      <c r="V22" s="2238"/>
      <c r="W22" s="2238"/>
      <c r="X22" s="2238"/>
      <c r="Y22" s="2238"/>
      <c r="Z22" s="2238"/>
      <c r="AA22" s="2238"/>
      <c r="AB22" s="2238"/>
      <c r="AC22" s="2238"/>
      <c r="AD22"/>
      <c r="AE22"/>
    </row>
    <row r="23" spans="1:31" ht="25.5">
      <c r="A23" s="663" t="s">
        <v>830</v>
      </c>
      <c r="B23" s="510" t="s">
        <v>232</v>
      </c>
      <c r="C23" s="510" t="s">
        <v>303</v>
      </c>
      <c r="D23" s="663" t="str">
        <f>"Source - Page 2 of 2. Col "&amp;P7</f>
        <v>Source - Page 2 of 2. Col (D)</v>
      </c>
      <c r="E23" s="510" t="s">
        <v>175</v>
      </c>
      <c r="G23" s="510" t="s">
        <v>191</v>
      </c>
      <c r="I23" s="510" t="s">
        <v>191</v>
      </c>
      <c r="J23" s="510" t="s">
        <v>191</v>
      </c>
      <c r="K23" s="510" t="s">
        <v>214</v>
      </c>
      <c r="L23" s="510" t="s">
        <v>830</v>
      </c>
      <c r="M23" s="510" t="s">
        <v>232</v>
      </c>
      <c r="N23" s="510" t="s">
        <v>303</v>
      </c>
      <c r="O23" s="665"/>
      <c r="P23" s="1908" t="s">
        <v>1013</v>
      </c>
      <c r="Q23" s="669" t="str">
        <f>"December "&amp;'OKT TCOS'!$N$2-1</f>
        <v>December 2021</v>
      </c>
      <c r="R23" s="669" t="str">
        <f>"January "&amp;'OKT TCOS'!$N$2</f>
        <v>January 2022</v>
      </c>
      <c r="S23" s="669" t="str">
        <f>"February "&amp;'OKT TCOS'!$N$2</f>
        <v>February 2022</v>
      </c>
      <c r="T23" s="669" t="str">
        <f>"March "&amp;'OKT TCOS'!$N$2</f>
        <v>March 2022</v>
      </c>
      <c r="U23" s="669" t="str">
        <f>"April "&amp;'OKT TCOS'!$N$2</f>
        <v>April 2022</v>
      </c>
      <c r="V23" s="669" t="str">
        <f>"May "&amp;'OKT TCOS'!$N$2</f>
        <v>May 2022</v>
      </c>
      <c r="W23" s="669" t="str">
        <f>"June "&amp;'OKT TCOS'!$N$2</f>
        <v>June 2022</v>
      </c>
      <c r="X23" s="669" t="str">
        <f>"July "&amp;'OKT TCOS'!$N$2</f>
        <v>July 2022</v>
      </c>
      <c r="Y23" s="669" t="str">
        <f>"August "&amp;'OKT TCOS'!$N$2</f>
        <v>August 2022</v>
      </c>
      <c r="Z23" s="669" t="str">
        <f>"September "&amp;'OKT TCOS'!$N$2</f>
        <v>September 2022</v>
      </c>
      <c r="AA23" s="669" t="str">
        <f>"October "&amp;'OKT TCOS'!$N$2</f>
        <v>October 2022</v>
      </c>
      <c r="AB23" s="669" t="str">
        <f>"November "&amp;'OKT TCOS'!$N$2</f>
        <v>November 2022</v>
      </c>
      <c r="AC23" s="669" t="str">
        <f>"December "&amp;'OKT TCOS'!$N$2</f>
        <v>December 2022</v>
      </c>
      <c r="AD23"/>
      <c r="AE23"/>
    </row>
    <row r="24" spans="1:31">
      <c r="A24" s="664"/>
      <c r="B24" s="677"/>
      <c r="C24" s="500"/>
      <c r="D24" s="500"/>
      <c r="E24" s="500"/>
      <c r="G24" s="500"/>
      <c r="I24" s="500"/>
      <c r="J24" s="500"/>
      <c r="K24" s="493"/>
      <c r="L24" s="664"/>
      <c r="M24" s="662"/>
      <c r="N24" s="662"/>
      <c r="O24" s="662"/>
      <c r="P24" s="662"/>
      <c r="Q24" s="662"/>
      <c r="AD24"/>
      <c r="AE24"/>
    </row>
    <row r="25" spans="1:31">
      <c r="A25" s="546">
        <f>+A18+1</f>
        <v>4</v>
      </c>
      <c r="B25" s="680" t="s">
        <v>582</v>
      </c>
      <c r="C25" s="680" t="s">
        <v>942</v>
      </c>
      <c r="D25" s="673">
        <f>+P25</f>
        <v>106169.69615384616</v>
      </c>
      <c r="E25" s="673"/>
      <c r="F25" s="681"/>
      <c r="G25" s="591"/>
      <c r="H25" s="681"/>
      <c r="I25" s="682">
        <f>+D25</f>
        <v>106169.69615384616</v>
      </c>
      <c r="J25" s="682"/>
      <c r="K25" s="683"/>
      <c r="L25" s="546">
        <f>+L18+1</f>
        <v>4</v>
      </c>
      <c r="M25" s="680" t="str">
        <f t="shared" ref="M25:M28" si="0">+B25</f>
        <v>1650001</v>
      </c>
      <c r="N25" s="680" t="str">
        <f t="shared" ref="N25:N28" si="1">+C25</f>
        <v xml:space="preserve">Prepaid Insurance </v>
      </c>
      <c r="O25" s="680"/>
      <c r="P25" s="1895">
        <f t="shared" ref="P25:P50" si="2">+SUM(Q25:AC25)/13</f>
        <v>106169.69615384616</v>
      </c>
      <c r="Q25" s="559">
        <v>107965.47</v>
      </c>
      <c r="R25" s="559">
        <v>89481.08</v>
      </c>
      <c r="S25" s="559">
        <v>70996.69</v>
      </c>
      <c r="T25" s="559">
        <v>52512.3</v>
      </c>
      <c r="U25" s="559">
        <v>34027.910000000003</v>
      </c>
      <c r="V25" s="559">
        <v>55213.91</v>
      </c>
      <c r="W25" s="559">
        <v>37367.43</v>
      </c>
      <c r="X25" s="559">
        <v>190368.61000000002</v>
      </c>
      <c r="Y25" s="559">
        <v>171150.84</v>
      </c>
      <c r="Z25" s="559">
        <v>151933.07</v>
      </c>
      <c r="AA25" s="559">
        <v>159634.38</v>
      </c>
      <c r="AB25" s="559">
        <v>139729.58000000002</v>
      </c>
      <c r="AC25" s="559">
        <v>119824.78</v>
      </c>
      <c r="AD25"/>
      <c r="AE25"/>
    </row>
    <row r="26" spans="1:31">
      <c r="A26" s="546">
        <f>+A25+1</f>
        <v>5</v>
      </c>
      <c r="B26" s="680" t="s">
        <v>1246</v>
      </c>
      <c r="C26" s="680" t="s">
        <v>1245</v>
      </c>
      <c r="D26" s="673">
        <f t="shared" ref="D26" si="3">+P26</f>
        <v>85057.354615384611</v>
      </c>
      <c r="E26" s="673"/>
      <c r="F26" s="681"/>
      <c r="G26" s="591"/>
      <c r="H26" s="681"/>
      <c r="I26" s="591">
        <f>+D26</f>
        <v>85057.354615384611</v>
      </c>
      <c r="J26" s="591"/>
      <c r="K26" s="683"/>
      <c r="L26" s="546">
        <f>+L25+1</f>
        <v>5</v>
      </c>
      <c r="M26" s="680" t="str">
        <f t="shared" ref="M26" si="4">+B26</f>
        <v>165001222</v>
      </c>
      <c r="N26" s="680" t="str">
        <f t="shared" ref="N26" si="5">+C26</f>
        <v>Prepaid Use Taxes</v>
      </c>
      <c r="O26" s="680"/>
      <c r="P26" s="1895">
        <f t="shared" ref="P26" si="6">+SUM(Q26:AC26)/13</f>
        <v>85057.354615384611</v>
      </c>
      <c r="Q26" s="559">
        <v>0</v>
      </c>
      <c r="R26" s="559">
        <v>0</v>
      </c>
      <c r="S26" s="559">
        <v>29990.45</v>
      </c>
      <c r="T26" s="559">
        <v>62361.1</v>
      </c>
      <c r="U26" s="559">
        <v>128573.93000000001</v>
      </c>
      <c r="V26" s="559">
        <v>91733.19</v>
      </c>
      <c r="W26" s="559">
        <v>96675.07</v>
      </c>
      <c r="X26" s="559">
        <v>180961.25</v>
      </c>
      <c r="Y26" s="559">
        <v>87486.45</v>
      </c>
      <c r="Z26" s="559">
        <v>44400.72</v>
      </c>
      <c r="AA26" s="559">
        <v>62834</v>
      </c>
      <c r="AB26" s="559">
        <v>131015.59</v>
      </c>
      <c r="AC26" s="559">
        <v>189713.86000000002</v>
      </c>
      <c r="AD26"/>
      <c r="AE26"/>
    </row>
    <row r="27" spans="1:31">
      <c r="A27" s="546">
        <f>+A26+1</f>
        <v>6</v>
      </c>
      <c r="B27" s="680" t="s">
        <v>943</v>
      </c>
      <c r="C27" s="680" t="s">
        <v>583</v>
      </c>
      <c r="D27" s="673">
        <f t="shared" ref="D27:D50" si="7">+P27</f>
        <v>82288.913076923083</v>
      </c>
      <c r="E27" s="673"/>
      <c r="F27" s="681"/>
      <c r="G27" s="591"/>
      <c r="H27" s="681"/>
      <c r="I27" s="591">
        <f>+D27</f>
        <v>82288.913076923083</v>
      </c>
      <c r="J27" s="591"/>
      <c r="K27" s="683"/>
      <c r="L27" s="546">
        <f>+L26+1</f>
        <v>6</v>
      </c>
      <c r="M27" s="680" t="str">
        <f t="shared" si="0"/>
        <v>1650021</v>
      </c>
      <c r="N27" s="680" t="str">
        <f t="shared" si="1"/>
        <v>Prepaid Insurance - EIS</v>
      </c>
      <c r="O27" s="680"/>
      <c r="P27" s="1895">
        <f t="shared" si="2"/>
        <v>82288.913076923083</v>
      </c>
      <c r="Q27" s="559">
        <v>79715.88</v>
      </c>
      <c r="R27" s="559">
        <v>66429.899999999994</v>
      </c>
      <c r="S27" s="559">
        <v>53143.92</v>
      </c>
      <c r="T27" s="559">
        <v>39857.94</v>
      </c>
      <c r="U27" s="559">
        <v>26571.96</v>
      </c>
      <c r="V27" s="559">
        <v>13285.98</v>
      </c>
      <c r="W27" s="559">
        <v>0</v>
      </c>
      <c r="X27" s="559">
        <v>170553.99</v>
      </c>
      <c r="Y27" s="559">
        <v>155049.08000000002</v>
      </c>
      <c r="Z27" s="559">
        <v>139544.17000000001</v>
      </c>
      <c r="AA27" s="559">
        <v>124039.26000000001</v>
      </c>
      <c r="AB27" s="559">
        <v>108534.35</v>
      </c>
      <c r="AC27" s="559">
        <v>93029.440000000002</v>
      </c>
      <c r="AD27"/>
      <c r="AE27"/>
    </row>
    <row r="28" spans="1:31">
      <c r="A28" s="546">
        <f t="shared" ref="A28:A50" si="8">+A27+1</f>
        <v>7</v>
      </c>
      <c r="B28" s="684" t="s">
        <v>944</v>
      </c>
      <c r="C28" s="680" t="s">
        <v>945</v>
      </c>
      <c r="D28" s="673">
        <f t="shared" si="7"/>
        <v>191915.25307692308</v>
      </c>
      <c r="E28" s="673"/>
      <c r="F28" s="681"/>
      <c r="G28" s="591">
        <f>+D28</f>
        <v>191915.25307692308</v>
      </c>
      <c r="H28" s="681"/>
      <c r="I28" s="591"/>
      <c r="J28" s="591"/>
      <c r="K28" s="683"/>
      <c r="L28" s="546">
        <f t="shared" ref="L28:L50" si="9">+L27+1</f>
        <v>7</v>
      </c>
      <c r="M28" s="685" t="str">
        <f t="shared" si="0"/>
        <v>1650023</v>
      </c>
      <c r="N28" s="680" t="str">
        <f t="shared" si="1"/>
        <v>Prepaid Lease</v>
      </c>
      <c r="O28" s="680"/>
      <c r="P28" s="1895">
        <f t="shared" si="2"/>
        <v>191915.25307692308</v>
      </c>
      <c r="Q28" s="559">
        <v>125678.21</v>
      </c>
      <c r="R28" s="559">
        <v>106775.76000000001</v>
      </c>
      <c r="S28" s="559">
        <v>192767.68</v>
      </c>
      <c r="T28" s="559">
        <v>341195.62</v>
      </c>
      <c r="U28" s="559">
        <v>297051.52000000002</v>
      </c>
      <c r="V28" s="559">
        <v>257813.44</v>
      </c>
      <c r="W28" s="559">
        <v>223493.06</v>
      </c>
      <c r="X28" s="559">
        <v>182937.28</v>
      </c>
      <c r="Y28" s="559">
        <v>147299.20000000001</v>
      </c>
      <c r="Z28" s="559">
        <v>116590.52</v>
      </c>
      <c r="AA28" s="559">
        <v>198423.04000000001</v>
      </c>
      <c r="AB28" s="559">
        <v>162784.95999999999</v>
      </c>
      <c r="AC28" s="559">
        <v>142088</v>
      </c>
      <c r="AD28"/>
      <c r="AE28"/>
    </row>
    <row r="29" spans="1:31">
      <c r="A29" s="546">
        <f t="shared" si="8"/>
        <v>8</v>
      </c>
      <c r="B29" s="680"/>
      <c r="C29" s="680"/>
      <c r="D29" s="673">
        <f t="shared" si="7"/>
        <v>0</v>
      </c>
      <c r="E29" s="673"/>
      <c r="F29" s="681"/>
      <c r="G29" s="591"/>
      <c r="H29" s="681"/>
      <c r="I29" s="591"/>
      <c r="J29" s="591"/>
      <c r="K29" s="683"/>
      <c r="L29" s="546">
        <f t="shared" si="9"/>
        <v>8</v>
      </c>
      <c r="M29" s="685"/>
      <c r="N29" s="680"/>
      <c r="O29" s="680"/>
      <c r="P29" s="1895">
        <f t="shared" si="2"/>
        <v>0</v>
      </c>
      <c r="Q29" s="559"/>
      <c r="R29" s="559"/>
      <c r="S29" s="559"/>
      <c r="T29" s="559"/>
      <c r="U29" s="559"/>
      <c r="V29" s="559"/>
      <c r="W29" s="559"/>
      <c r="X29" s="559"/>
      <c r="Y29" s="559"/>
      <c r="Z29" s="559"/>
      <c r="AA29" s="559"/>
      <c r="AB29" s="559"/>
      <c r="AC29" s="559"/>
      <c r="AD29"/>
      <c r="AE29"/>
    </row>
    <row r="30" spans="1:31">
      <c r="A30" s="546">
        <f t="shared" si="8"/>
        <v>9</v>
      </c>
      <c r="B30" s="680"/>
      <c r="C30" s="680"/>
      <c r="D30" s="591">
        <f t="shared" si="7"/>
        <v>0</v>
      </c>
      <c r="E30" s="591"/>
      <c r="F30" s="681"/>
      <c r="G30" s="591"/>
      <c r="H30" s="681"/>
      <c r="I30" s="591"/>
      <c r="J30" s="591"/>
      <c r="K30" s="683"/>
      <c r="L30" s="546">
        <f t="shared" si="9"/>
        <v>9</v>
      </c>
      <c r="M30" s="685"/>
      <c r="N30" s="680"/>
      <c r="O30" s="680"/>
      <c r="P30" s="1895">
        <f t="shared" si="2"/>
        <v>0</v>
      </c>
      <c r="Q30" s="559"/>
      <c r="R30" s="559"/>
      <c r="S30" s="559"/>
      <c r="T30" s="559"/>
      <c r="U30" s="559"/>
      <c r="V30" s="559"/>
      <c r="W30" s="559"/>
      <c r="X30" s="559"/>
      <c r="Y30" s="559"/>
      <c r="Z30" s="559"/>
      <c r="AA30" s="559"/>
      <c r="AB30" s="559"/>
      <c r="AC30" s="559"/>
    </row>
    <row r="31" spans="1:31">
      <c r="A31" s="546">
        <f t="shared" si="8"/>
        <v>10</v>
      </c>
      <c r="B31" s="680"/>
      <c r="C31" s="680"/>
      <c r="D31" s="686">
        <f t="shared" si="7"/>
        <v>0</v>
      </c>
      <c r="E31" s="686"/>
      <c r="F31" s="681"/>
      <c r="G31" s="686"/>
      <c r="H31" s="687"/>
      <c r="I31" s="686"/>
      <c r="J31" s="686"/>
      <c r="K31" s="683"/>
      <c r="L31" s="546">
        <f t="shared" si="9"/>
        <v>10</v>
      </c>
      <c r="M31" s="685"/>
      <c r="N31" s="680"/>
      <c r="O31" s="680"/>
      <c r="P31" s="1895">
        <f t="shared" si="2"/>
        <v>0</v>
      </c>
      <c r="Q31" s="559"/>
      <c r="R31" s="559"/>
      <c r="S31" s="559"/>
      <c r="T31" s="559"/>
      <c r="U31" s="559"/>
      <c r="V31" s="559"/>
      <c r="W31" s="559"/>
      <c r="X31" s="559"/>
      <c r="Y31" s="559"/>
      <c r="Z31" s="559"/>
      <c r="AA31" s="559"/>
      <c r="AB31" s="559"/>
      <c r="AC31" s="559"/>
    </row>
    <row r="32" spans="1:31">
      <c r="A32" s="546">
        <f t="shared" si="8"/>
        <v>11</v>
      </c>
      <c r="B32" s="684"/>
      <c r="C32" s="680"/>
      <c r="D32" s="591">
        <f t="shared" si="7"/>
        <v>0</v>
      </c>
      <c r="E32" s="591"/>
      <c r="F32" s="681"/>
      <c r="G32" s="591"/>
      <c r="H32" s="687"/>
      <c r="I32" s="591"/>
      <c r="J32" s="591"/>
      <c r="K32" s="683"/>
      <c r="L32" s="546">
        <f t="shared" si="9"/>
        <v>11</v>
      </c>
      <c r="M32" s="685"/>
      <c r="N32" s="680"/>
      <c r="O32" s="680"/>
      <c r="P32" s="1895">
        <f t="shared" si="2"/>
        <v>0</v>
      </c>
      <c r="Q32" s="559"/>
      <c r="R32" s="559"/>
      <c r="S32" s="559"/>
      <c r="T32" s="559"/>
      <c r="U32" s="559"/>
      <c r="V32" s="559"/>
      <c r="W32" s="559"/>
      <c r="X32" s="559"/>
      <c r="Y32" s="559"/>
      <c r="Z32" s="559"/>
      <c r="AA32" s="559"/>
      <c r="AB32" s="559"/>
      <c r="AC32" s="559"/>
    </row>
    <row r="33" spans="1:29">
      <c r="A33" s="546">
        <f t="shared" si="8"/>
        <v>12</v>
      </c>
      <c r="B33" s="684"/>
      <c r="C33" s="680"/>
      <c r="D33" s="591">
        <f t="shared" si="7"/>
        <v>0</v>
      </c>
      <c r="E33" s="591"/>
      <c r="F33" s="681"/>
      <c r="G33" s="591"/>
      <c r="H33" s="687"/>
      <c r="I33" s="688"/>
      <c r="J33" s="688"/>
      <c r="K33" s="683"/>
      <c r="L33" s="546">
        <f t="shared" si="9"/>
        <v>12</v>
      </c>
      <c r="M33" s="685"/>
      <c r="N33" s="680"/>
      <c r="O33" s="680"/>
      <c r="P33" s="1895">
        <f t="shared" si="2"/>
        <v>0</v>
      </c>
      <c r="Q33" s="559"/>
      <c r="R33" s="559"/>
      <c r="S33" s="559"/>
      <c r="T33" s="559"/>
      <c r="U33" s="559"/>
      <c r="V33" s="559"/>
      <c r="W33" s="559"/>
      <c r="X33" s="559"/>
      <c r="Y33" s="559"/>
      <c r="Z33" s="559"/>
      <c r="AA33" s="559"/>
      <c r="AB33" s="559"/>
      <c r="AC33" s="559"/>
    </row>
    <row r="34" spans="1:29">
      <c r="A34" s="546">
        <f t="shared" si="8"/>
        <v>13</v>
      </c>
      <c r="B34" s="680"/>
      <c r="C34" s="680"/>
      <c r="D34" s="591">
        <f t="shared" si="7"/>
        <v>0</v>
      </c>
      <c r="E34" s="591"/>
      <c r="F34" s="681"/>
      <c r="G34" s="591"/>
      <c r="H34" s="687"/>
      <c r="I34" s="591"/>
      <c r="J34" s="591"/>
      <c r="K34" s="683"/>
      <c r="L34" s="546">
        <f t="shared" si="9"/>
        <v>13</v>
      </c>
      <c r="M34" s="685"/>
      <c r="N34" s="680"/>
      <c r="O34" s="680"/>
      <c r="P34" s="1895">
        <f t="shared" si="2"/>
        <v>0</v>
      </c>
      <c r="Q34" s="559"/>
      <c r="R34" s="559"/>
      <c r="S34" s="559"/>
      <c r="T34" s="559"/>
      <c r="U34" s="559"/>
      <c r="V34" s="559"/>
      <c r="W34" s="559"/>
      <c r="X34" s="559"/>
      <c r="Y34" s="559"/>
      <c r="Z34" s="559"/>
      <c r="AA34" s="559"/>
      <c r="AB34" s="559"/>
      <c r="AC34" s="559"/>
    </row>
    <row r="35" spans="1:29">
      <c r="A35" s="546">
        <f t="shared" si="8"/>
        <v>14</v>
      </c>
      <c r="B35" s="689"/>
      <c r="C35" s="680"/>
      <c r="D35" s="591">
        <f t="shared" si="7"/>
        <v>0</v>
      </c>
      <c r="E35" s="591"/>
      <c r="F35" s="681"/>
      <c r="G35" s="591"/>
      <c r="H35" s="687"/>
      <c r="I35" s="690"/>
      <c r="J35" s="690"/>
      <c r="K35" s="683"/>
      <c r="L35" s="546">
        <f t="shared" si="9"/>
        <v>14</v>
      </c>
      <c r="M35" s="685"/>
      <c r="N35" s="680"/>
      <c r="O35" s="680"/>
      <c r="P35" s="1895">
        <f t="shared" si="2"/>
        <v>0</v>
      </c>
      <c r="Q35" s="559"/>
      <c r="R35" s="559"/>
      <c r="S35" s="559"/>
      <c r="T35" s="559"/>
      <c r="U35" s="559"/>
      <c r="V35" s="559"/>
      <c r="W35" s="559"/>
      <c r="X35" s="559"/>
      <c r="Y35" s="559"/>
      <c r="Z35" s="559"/>
      <c r="AA35" s="559"/>
      <c r="AB35" s="559"/>
      <c r="AC35" s="559"/>
    </row>
    <row r="36" spans="1:29">
      <c r="A36" s="546">
        <f t="shared" si="8"/>
        <v>15</v>
      </c>
      <c r="B36" s="689"/>
      <c r="C36" s="680"/>
      <c r="D36" s="591">
        <f t="shared" si="7"/>
        <v>0</v>
      </c>
      <c r="E36" s="591"/>
      <c r="F36" s="681"/>
      <c r="G36" s="591"/>
      <c r="H36" s="687"/>
      <c r="I36" s="682"/>
      <c r="J36" s="682"/>
      <c r="K36" s="683"/>
      <c r="L36" s="546">
        <f t="shared" si="9"/>
        <v>15</v>
      </c>
      <c r="M36" s="685"/>
      <c r="N36" s="680"/>
      <c r="O36" s="680"/>
      <c r="P36" s="1895">
        <f t="shared" si="2"/>
        <v>0</v>
      </c>
      <c r="Q36" s="559"/>
      <c r="R36" s="559"/>
      <c r="S36" s="559"/>
      <c r="T36" s="559"/>
      <c r="U36" s="559"/>
      <c r="V36" s="559"/>
      <c r="W36" s="559"/>
      <c r="X36" s="559"/>
      <c r="Y36" s="559"/>
      <c r="Z36" s="559"/>
      <c r="AA36" s="559"/>
      <c r="AB36" s="559"/>
      <c r="AC36" s="559"/>
    </row>
    <row r="37" spans="1:29">
      <c r="A37" s="546">
        <f t="shared" si="8"/>
        <v>16</v>
      </c>
      <c r="B37" s="689"/>
      <c r="C37" s="680"/>
      <c r="D37" s="591">
        <f t="shared" si="7"/>
        <v>0</v>
      </c>
      <c r="E37" s="591"/>
      <c r="F37" s="681"/>
      <c r="G37" s="591"/>
      <c r="H37" s="687"/>
      <c r="I37" s="591"/>
      <c r="J37" s="591"/>
      <c r="K37" s="557"/>
      <c r="L37" s="546">
        <f t="shared" si="9"/>
        <v>16</v>
      </c>
      <c r="M37" s="685"/>
      <c r="N37" s="680"/>
      <c r="O37" s="680"/>
      <c r="P37" s="1895">
        <f t="shared" si="2"/>
        <v>0</v>
      </c>
      <c r="Q37" s="559"/>
      <c r="R37" s="559"/>
      <c r="S37" s="559"/>
      <c r="T37" s="559"/>
      <c r="U37" s="559"/>
      <c r="V37" s="559"/>
      <c r="W37" s="559"/>
      <c r="X37" s="559"/>
      <c r="Y37" s="559"/>
      <c r="Z37" s="559"/>
      <c r="AA37" s="559"/>
      <c r="AB37" s="559"/>
      <c r="AC37" s="559"/>
    </row>
    <row r="38" spans="1:29">
      <c r="A38" s="546">
        <f t="shared" si="8"/>
        <v>17</v>
      </c>
      <c r="B38" s="689"/>
      <c r="C38" s="680"/>
      <c r="D38" s="591">
        <f t="shared" si="7"/>
        <v>0</v>
      </c>
      <c r="E38" s="591"/>
      <c r="F38" s="681"/>
      <c r="G38" s="591"/>
      <c r="H38" s="687"/>
      <c r="I38" s="131"/>
      <c r="J38" s="131"/>
      <c r="K38" s="557"/>
      <c r="L38" s="546">
        <f t="shared" si="9"/>
        <v>17</v>
      </c>
      <c r="M38" s="685"/>
      <c r="N38" s="680"/>
      <c r="O38" s="680"/>
      <c r="P38" s="1895">
        <f t="shared" si="2"/>
        <v>0</v>
      </c>
      <c r="Q38" s="559"/>
      <c r="R38" s="559"/>
      <c r="S38" s="559"/>
      <c r="T38" s="559"/>
      <c r="U38" s="559"/>
      <c r="V38" s="559"/>
      <c r="W38" s="559"/>
      <c r="X38" s="559"/>
      <c r="Y38" s="559"/>
      <c r="Z38" s="559"/>
      <c r="AA38" s="559"/>
      <c r="AB38" s="559"/>
      <c r="AC38" s="559"/>
    </row>
    <row r="39" spans="1:29">
      <c r="A39" s="546">
        <f t="shared" si="8"/>
        <v>18</v>
      </c>
      <c r="B39" s="689"/>
      <c r="C39" s="680"/>
      <c r="D39" s="591">
        <f t="shared" si="7"/>
        <v>0</v>
      </c>
      <c r="E39" s="591"/>
      <c r="F39" s="681"/>
      <c r="G39" s="591"/>
      <c r="H39" s="687"/>
      <c r="I39" s="591"/>
      <c r="J39" s="591"/>
      <c r="K39" s="557"/>
      <c r="L39" s="546">
        <f t="shared" si="9"/>
        <v>18</v>
      </c>
      <c r="M39" s="685"/>
      <c r="N39" s="680"/>
      <c r="O39" s="680"/>
      <c r="P39" s="1895">
        <f t="shared" si="2"/>
        <v>0</v>
      </c>
      <c r="Q39" s="559"/>
      <c r="R39" s="559"/>
      <c r="S39" s="559"/>
      <c r="T39" s="559"/>
      <c r="U39" s="559"/>
      <c r="V39" s="559"/>
      <c r="W39" s="559"/>
      <c r="X39" s="559"/>
      <c r="Y39" s="559"/>
      <c r="Z39" s="559"/>
      <c r="AA39" s="559"/>
      <c r="AB39" s="559"/>
      <c r="AC39" s="559"/>
    </row>
    <row r="40" spans="1:29">
      <c r="A40" s="546">
        <f t="shared" si="8"/>
        <v>19</v>
      </c>
      <c r="B40" s="689"/>
      <c r="C40" s="680"/>
      <c r="D40" s="591">
        <f t="shared" si="7"/>
        <v>0</v>
      </c>
      <c r="E40" s="591"/>
      <c r="F40" s="681"/>
      <c r="G40" s="591"/>
      <c r="H40" s="687"/>
      <c r="I40" s="591"/>
      <c r="J40" s="591"/>
      <c r="K40" s="557"/>
      <c r="L40" s="546">
        <f t="shared" si="9"/>
        <v>19</v>
      </c>
      <c r="M40" s="685"/>
      <c r="N40" s="680"/>
      <c r="O40" s="680"/>
      <c r="P40" s="1895">
        <f t="shared" si="2"/>
        <v>0</v>
      </c>
      <c r="Q40" s="559"/>
      <c r="R40" s="559"/>
      <c r="S40" s="559"/>
      <c r="T40" s="559"/>
      <c r="U40" s="559"/>
      <c r="V40" s="559"/>
      <c r="W40" s="559"/>
      <c r="X40" s="559"/>
      <c r="Y40" s="559"/>
      <c r="Z40" s="559"/>
      <c r="AA40" s="559"/>
      <c r="AB40" s="559"/>
      <c r="AC40" s="559"/>
    </row>
    <row r="41" spans="1:29">
      <c r="A41" s="546">
        <f t="shared" si="8"/>
        <v>20</v>
      </c>
      <c r="B41" s="689"/>
      <c r="C41" s="680"/>
      <c r="D41" s="591">
        <f t="shared" si="7"/>
        <v>0</v>
      </c>
      <c r="E41" s="591"/>
      <c r="F41" s="681"/>
      <c r="G41" s="591"/>
      <c r="H41" s="687"/>
      <c r="I41" s="591"/>
      <c r="J41" s="591"/>
      <c r="K41" s="557"/>
      <c r="L41" s="546">
        <f t="shared" si="9"/>
        <v>20</v>
      </c>
      <c r="M41" s="685"/>
      <c r="N41" s="680"/>
      <c r="O41" s="680"/>
      <c r="P41" s="1895">
        <f t="shared" si="2"/>
        <v>0</v>
      </c>
      <c r="Q41" s="559"/>
      <c r="R41" s="559"/>
      <c r="S41" s="559"/>
      <c r="T41" s="559"/>
      <c r="U41" s="559"/>
      <c r="V41" s="559"/>
      <c r="W41" s="559"/>
      <c r="X41" s="559"/>
      <c r="Y41" s="559"/>
      <c r="Z41" s="559"/>
      <c r="AA41" s="559"/>
      <c r="AB41" s="559"/>
      <c r="AC41" s="559"/>
    </row>
    <row r="42" spans="1:29">
      <c r="A42" s="546">
        <f t="shared" si="8"/>
        <v>21</v>
      </c>
      <c r="B42" s="689"/>
      <c r="C42" s="680"/>
      <c r="D42" s="591">
        <f t="shared" si="7"/>
        <v>0</v>
      </c>
      <c r="E42" s="591"/>
      <c r="F42" s="681"/>
      <c r="G42" s="591"/>
      <c r="H42" s="687"/>
      <c r="I42" s="591"/>
      <c r="J42" s="591"/>
      <c r="K42" s="557"/>
      <c r="L42" s="546">
        <f t="shared" si="9"/>
        <v>21</v>
      </c>
      <c r="M42" s="685"/>
      <c r="N42" s="680"/>
      <c r="O42" s="680"/>
      <c r="P42" s="1895">
        <f t="shared" si="2"/>
        <v>0</v>
      </c>
      <c r="Q42" s="559"/>
      <c r="R42" s="559"/>
      <c r="S42" s="559"/>
      <c r="T42" s="559"/>
      <c r="U42" s="559"/>
      <c r="V42" s="559"/>
      <c r="W42" s="559"/>
      <c r="X42" s="559"/>
      <c r="Y42" s="559"/>
      <c r="Z42" s="559"/>
      <c r="AA42" s="559"/>
      <c r="AB42" s="559"/>
      <c r="AC42" s="559"/>
    </row>
    <row r="43" spans="1:29">
      <c r="A43" s="546">
        <f t="shared" si="8"/>
        <v>22</v>
      </c>
      <c r="B43" s="689"/>
      <c r="C43" s="680"/>
      <c r="D43" s="591">
        <f t="shared" si="7"/>
        <v>0</v>
      </c>
      <c r="E43" s="591"/>
      <c r="F43" s="681"/>
      <c r="G43" s="591"/>
      <c r="H43" s="687"/>
      <c r="I43" s="591"/>
      <c r="J43" s="686"/>
      <c r="K43" s="557"/>
      <c r="L43" s="546">
        <f t="shared" si="9"/>
        <v>22</v>
      </c>
      <c r="M43" s="685"/>
      <c r="N43" s="680"/>
      <c r="O43" s="680"/>
      <c r="P43" s="1895">
        <f t="shared" si="2"/>
        <v>0</v>
      </c>
      <c r="Q43" s="559"/>
      <c r="R43" s="559"/>
      <c r="S43" s="559"/>
      <c r="T43" s="559"/>
      <c r="U43" s="559"/>
      <c r="V43" s="559"/>
      <c r="W43" s="559"/>
      <c r="X43" s="559"/>
      <c r="Y43" s="559"/>
      <c r="Z43" s="559"/>
      <c r="AA43" s="559"/>
      <c r="AB43" s="559"/>
      <c r="AC43" s="559"/>
    </row>
    <row r="44" spans="1:29">
      <c r="A44" s="546">
        <f t="shared" si="8"/>
        <v>23</v>
      </c>
      <c r="B44" s="689"/>
      <c r="C44" s="680"/>
      <c r="D44" s="591">
        <f t="shared" si="7"/>
        <v>0</v>
      </c>
      <c r="E44" s="591"/>
      <c r="F44" s="681"/>
      <c r="G44" s="591"/>
      <c r="H44" s="687"/>
      <c r="I44" s="591"/>
      <c r="J44" s="686"/>
      <c r="K44" s="557"/>
      <c r="L44" s="546">
        <f t="shared" si="9"/>
        <v>23</v>
      </c>
      <c r="M44" s="685"/>
      <c r="N44" s="680"/>
      <c r="O44" s="680"/>
      <c r="P44" s="1895">
        <f t="shared" si="2"/>
        <v>0</v>
      </c>
      <c r="Q44" s="559"/>
      <c r="R44" s="559"/>
      <c r="S44" s="559"/>
      <c r="T44" s="559"/>
      <c r="U44" s="559"/>
      <c r="V44" s="559"/>
      <c r="W44" s="559"/>
      <c r="X44" s="559"/>
      <c r="Y44" s="559"/>
      <c r="Z44" s="559"/>
      <c r="AA44" s="559"/>
      <c r="AB44" s="559"/>
      <c r="AC44" s="559"/>
    </row>
    <row r="45" spans="1:29">
      <c r="A45" s="546">
        <f t="shared" si="8"/>
        <v>24</v>
      </c>
      <c r="B45" s="689"/>
      <c r="C45" s="680"/>
      <c r="D45" s="591">
        <f t="shared" si="7"/>
        <v>0</v>
      </c>
      <c r="E45" s="591"/>
      <c r="F45" s="681"/>
      <c r="G45" s="591"/>
      <c r="H45" s="687"/>
      <c r="I45" s="591"/>
      <c r="J45" s="686"/>
      <c r="K45" s="557"/>
      <c r="L45" s="546">
        <f t="shared" si="9"/>
        <v>24</v>
      </c>
      <c r="M45" s="685"/>
      <c r="N45" s="680"/>
      <c r="O45" s="680"/>
      <c r="P45" s="1895">
        <f t="shared" si="2"/>
        <v>0</v>
      </c>
      <c r="Q45" s="559"/>
      <c r="R45" s="559"/>
      <c r="S45" s="559"/>
      <c r="T45" s="559"/>
      <c r="U45" s="559"/>
      <c r="V45" s="559"/>
      <c r="W45" s="559"/>
      <c r="X45" s="559"/>
      <c r="Y45" s="559"/>
      <c r="Z45" s="559"/>
      <c r="AA45" s="559"/>
      <c r="AB45" s="559"/>
      <c r="AC45" s="559"/>
    </row>
    <row r="46" spans="1:29">
      <c r="A46" s="546">
        <f t="shared" si="8"/>
        <v>25</v>
      </c>
      <c r="B46" s="689"/>
      <c r="C46" s="680"/>
      <c r="D46" s="591">
        <f t="shared" si="7"/>
        <v>0</v>
      </c>
      <c r="E46" s="591"/>
      <c r="F46" s="681"/>
      <c r="G46" s="591"/>
      <c r="H46" s="687"/>
      <c r="I46" s="591"/>
      <c r="J46" s="686"/>
      <c r="K46" s="557"/>
      <c r="L46" s="546">
        <f t="shared" si="9"/>
        <v>25</v>
      </c>
      <c r="M46" s="685"/>
      <c r="N46" s="691"/>
      <c r="O46" s="691"/>
      <c r="P46" s="1895">
        <f t="shared" si="2"/>
        <v>0</v>
      </c>
      <c r="Q46" s="559"/>
      <c r="R46" s="559"/>
      <c r="S46" s="559"/>
      <c r="T46" s="559"/>
      <c r="U46" s="559"/>
      <c r="V46" s="559"/>
      <c r="W46" s="559"/>
      <c r="X46" s="559"/>
      <c r="Y46" s="559"/>
      <c r="Z46" s="559"/>
      <c r="AA46" s="559"/>
      <c r="AB46" s="559"/>
      <c r="AC46" s="559"/>
    </row>
    <row r="47" spans="1:29">
      <c r="A47" s="546">
        <f t="shared" si="8"/>
        <v>26</v>
      </c>
      <c r="B47" s="692"/>
      <c r="C47" s="693"/>
      <c r="D47" s="591">
        <f t="shared" si="7"/>
        <v>0</v>
      </c>
      <c r="E47" s="591"/>
      <c r="F47" s="694"/>
      <c r="G47" s="695"/>
      <c r="H47" s="696"/>
      <c r="I47" s="695"/>
      <c r="J47" s="695"/>
      <c r="K47" s="592"/>
      <c r="L47" s="546">
        <f t="shared" si="9"/>
        <v>26</v>
      </c>
      <c r="M47" s="685"/>
      <c r="N47" s="691"/>
      <c r="O47" s="691"/>
      <c r="P47" s="1895">
        <f t="shared" si="2"/>
        <v>0</v>
      </c>
      <c r="Q47" s="697"/>
      <c r="R47" s="697"/>
      <c r="S47" s="697"/>
      <c r="T47" s="697"/>
      <c r="U47" s="697"/>
      <c r="V47" s="697"/>
      <c r="W47" s="697"/>
      <c r="X47" s="697"/>
      <c r="Y47" s="697"/>
      <c r="Z47" s="697"/>
      <c r="AA47" s="697"/>
      <c r="AB47" s="697"/>
      <c r="AC47" s="697"/>
    </row>
    <row r="48" spans="1:29">
      <c r="A48" s="546">
        <f t="shared" si="8"/>
        <v>27</v>
      </c>
      <c r="B48" s="689"/>
      <c r="C48" s="680"/>
      <c r="D48" s="591">
        <f t="shared" si="7"/>
        <v>0</v>
      </c>
      <c r="E48" s="591"/>
      <c r="F48" s="681"/>
      <c r="G48" s="591"/>
      <c r="H48" s="687"/>
      <c r="I48" s="591"/>
      <c r="J48" s="686"/>
      <c r="K48" s="557"/>
      <c r="L48" s="546">
        <f t="shared" si="9"/>
        <v>27</v>
      </c>
      <c r="M48" s="685"/>
      <c r="N48" s="691"/>
      <c r="O48" s="691"/>
      <c r="P48" s="1895">
        <f t="shared" si="2"/>
        <v>0</v>
      </c>
      <c r="Q48" s="559"/>
      <c r="R48" s="559"/>
      <c r="S48" s="559"/>
      <c r="T48" s="559"/>
      <c r="U48" s="559"/>
      <c r="V48" s="559"/>
      <c r="W48" s="559"/>
      <c r="X48" s="559"/>
      <c r="Y48" s="559"/>
      <c r="Z48" s="559"/>
      <c r="AA48" s="559"/>
      <c r="AB48" s="559"/>
      <c r="AC48" s="559"/>
    </row>
    <row r="49" spans="1:29">
      <c r="A49" s="546">
        <f t="shared" si="8"/>
        <v>28</v>
      </c>
      <c r="B49" s="689"/>
      <c r="C49" s="680"/>
      <c r="D49" s="591">
        <f t="shared" si="7"/>
        <v>0</v>
      </c>
      <c r="E49" s="591"/>
      <c r="F49" s="681"/>
      <c r="G49" s="591"/>
      <c r="H49" s="681"/>
      <c r="I49" s="591"/>
      <c r="J49" s="698"/>
      <c r="K49" s="557"/>
      <c r="L49" s="546">
        <f t="shared" si="9"/>
        <v>28</v>
      </c>
      <c r="M49" s="685"/>
      <c r="N49" s="691"/>
      <c r="O49" s="691"/>
      <c r="P49" s="1895">
        <f t="shared" si="2"/>
        <v>0</v>
      </c>
      <c r="Q49" s="559"/>
      <c r="R49" s="559"/>
      <c r="S49" s="559"/>
      <c r="T49" s="559"/>
      <c r="U49" s="559"/>
      <c r="V49" s="559"/>
      <c r="W49" s="559"/>
      <c r="X49" s="559"/>
      <c r="Y49" s="559"/>
      <c r="Z49" s="559"/>
      <c r="AA49" s="559"/>
      <c r="AB49" s="559"/>
      <c r="AC49" s="559"/>
    </row>
    <row r="50" spans="1:29">
      <c r="A50" s="546">
        <f t="shared" si="8"/>
        <v>29</v>
      </c>
      <c r="B50" s="689"/>
      <c r="C50" s="680"/>
      <c r="D50" s="591">
        <f t="shared" si="7"/>
        <v>0</v>
      </c>
      <c r="E50" s="591"/>
      <c r="F50" s="681"/>
      <c r="G50" s="591"/>
      <c r="H50" s="681"/>
      <c r="I50" s="591"/>
      <c r="J50" s="698"/>
      <c r="K50" s="557"/>
      <c r="L50" s="546">
        <f t="shared" si="9"/>
        <v>29</v>
      </c>
      <c r="M50" s="685"/>
      <c r="N50" s="691"/>
      <c r="O50" s="691"/>
      <c r="P50" s="1895">
        <f t="shared" si="2"/>
        <v>0</v>
      </c>
      <c r="Q50" s="559"/>
      <c r="R50" s="559"/>
      <c r="S50" s="559"/>
      <c r="T50" s="559"/>
      <c r="U50" s="559"/>
      <c r="V50" s="559"/>
      <c r="W50" s="559"/>
      <c r="X50" s="559"/>
      <c r="Y50" s="559"/>
      <c r="Z50" s="559"/>
      <c r="AA50" s="559"/>
      <c r="AB50" s="559"/>
      <c r="AC50" s="559"/>
    </row>
    <row r="51" spans="1:29" ht="13.5" thickBot="1">
      <c r="A51" s="664"/>
      <c r="B51" s="699"/>
      <c r="C51" s="699"/>
      <c r="D51" s="700"/>
      <c r="E51" s="701"/>
      <c r="F51" s="702"/>
      <c r="G51" s="701"/>
      <c r="H51" s="702"/>
      <c r="I51" s="701"/>
      <c r="J51" s="701"/>
      <c r="K51" s="703"/>
      <c r="L51" s="664"/>
      <c r="M51" s="662"/>
      <c r="N51" s="662"/>
      <c r="O51" s="662"/>
      <c r="P51" s="671"/>
      <c r="Q51" s="662"/>
    </row>
    <row r="52" spans="1:29">
      <c r="A52" s="664">
        <f>+A50+1</f>
        <v>30</v>
      </c>
      <c r="B52" s="677"/>
      <c r="C52" s="509"/>
      <c r="D52" s="704">
        <f>SUM(D25:D51)</f>
        <v>465431.21692307689</v>
      </c>
      <c r="E52" s="705">
        <f>SUM(E25:E51)</f>
        <v>0</v>
      </c>
      <c r="F52" s="687"/>
      <c r="G52" s="705">
        <f>SUM(G25:G51)</f>
        <v>191915.25307692308</v>
      </c>
      <c r="H52" s="687"/>
      <c r="I52" s="705">
        <f>SUM(I25:I51)</f>
        <v>273515.96384615381</v>
      </c>
      <c r="J52" s="705">
        <f>SUM(J25:J51)</f>
        <v>0</v>
      </c>
      <c r="K52" s="493"/>
      <c r="L52" s="664">
        <f>+L50+1</f>
        <v>30</v>
      </c>
      <c r="M52" s="509" t="s">
        <v>832</v>
      </c>
      <c r="O52" s="662"/>
      <c r="P52" s="706">
        <f t="shared" ref="P52:AC52" si="10">SUM(P25:P51)</f>
        <v>465431.21692307689</v>
      </c>
      <c r="Q52" s="705">
        <f t="shared" si="10"/>
        <v>313359.56</v>
      </c>
      <c r="R52" s="705">
        <f t="shared" si="10"/>
        <v>262686.74</v>
      </c>
      <c r="S52" s="705">
        <f t="shared" si="10"/>
        <v>346898.74</v>
      </c>
      <c r="T52" s="705">
        <f t="shared" si="10"/>
        <v>495926.95999999996</v>
      </c>
      <c r="U52" s="705">
        <f t="shared" si="10"/>
        <v>486225.32000000007</v>
      </c>
      <c r="V52" s="705">
        <f t="shared" si="10"/>
        <v>418046.52</v>
      </c>
      <c r="W52" s="705">
        <f t="shared" si="10"/>
        <v>357535.56</v>
      </c>
      <c r="X52" s="705">
        <f t="shared" si="10"/>
        <v>724821.13</v>
      </c>
      <c r="Y52" s="705">
        <f t="shared" si="10"/>
        <v>560985.57000000007</v>
      </c>
      <c r="Z52" s="705">
        <f t="shared" si="10"/>
        <v>452468.48000000004</v>
      </c>
      <c r="AA52" s="705">
        <f t="shared" si="10"/>
        <v>544930.68000000005</v>
      </c>
      <c r="AB52" s="705">
        <f t="shared" si="10"/>
        <v>542064.48</v>
      </c>
      <c r="AC52" s="705">
        <f t="shared" si="10"/>
        <v>544656.08000000007</v>
      </c>
    </row>
    <row r="53" spans="1:29">
      <c r="A53" s="664"/>
      <c r="B53" s="677"/>
      <c r="C53" s="509"/>
      <c r="D53" s="707"/>
      <c r="E53" s="708"/>
      <c r="F53" s="687"/>
      <c r="G53" s="708"/>
      <c r="H53" s="687"/>
      <c r="I53" s="708"/>
      <c r="J53" s="708"/>
      <c r="K53" s="493"/>
      <c r="L53" s="662"/>
      <c r="M53" s="662"/>
      <c r="N53" s="662"/>
      <c r="O53" s="662"/>
      <c r="P53" s="662"/>
      <c r="Q53"/>
      <c r="AC53"/>
    </row>
    <row r="54" spans="1:29" s="710" customFormat="1" ht="49.5" customHeight="1">
      <c r="A54" s="709" t="s">
        <v>734</v>
      </c>
      <c r="B54" s="2237" t="s">
        <v>733</v>
      </c>
      <c r="C54" s="2237"/>
      <c r="D54" s="2237"/>
      <c r="E54" s="2237"/>
      <c r="F54" s="2237"/>
      <c r="G54" s="2237"/>
      <c r="H54" s="2237"/>
      <c r="I54" s="2237"/>
      <c r="J54" s="2237"/>
      <c r="K54" s="2237"/>
      <c r="L54" s="709" t="s">
        <v>734</v>
      </c>
      <c r="M54" s="2237"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237"/>
      <c r="O54" s="2237"/>
      <c r="P54" s="2237"/>
      <c r="Q54" s="2237"/>
      <c r="R54" s="2237"/>
      <c r="S54" s="2237"/>
      <c r="T54" s="2237"/>
      <c r="U54" s="2237"/>
      <c r="V54" s="2237"/>
      <c r="W54" s="2237"/>
      <c r="X54" s="2237"/>
      <c r="Y54" s="2237"/>
      <c r="Z54" s="2237"/>
      <c r="AA54" s="2237"/>
      <c r="AB54" s="2237"/>
      <c r="AC54" s="2237"/>
    </row>
    <row r="55" spans="1:29">
      <c r="A55" s="493"/>
      <c r="B55" s="493"/>
      <c r="C55" s="493"/>
      <c r="D55" s="493"/>
      <c r="E55" s="493"/>
      <c r="F55" s="493"/>
      <c r="G55" s="493"/>
      <c r="H55" s="493"/>
      <c r="I55" s="493"/>
      <c r="J55" s="493"/>
      <c r="K55" s="493"/>
      <c r="L55" s="493"/>
      <c r="M55" s="493"/>
      <c r="N55" s="493"/>
      <c r="O55" s="493"/>
      <c r="P55" s="493"/>
      <c r="Q55" s="493"/>
      <c r="R55" s="493"/>
    </row>
    <row r="56" spans="1:29">
      <c r="A56" s="493"/>
      <c r="B56" s="493"/>
      <c r="C56" s="493"/>
      <c r="D56" s="493"/>
      <c r="E56" s="493"/>
      <c r="F56" s="493"/>
      <c r="G56" s="493"/>
      <c r="H56" s="493"/>
      <c r="I56" s="493"/>
      <c r="J56" s="493"/>
      <c r="K56" s="493"/>
      <c r="L56" s="493"/>
      <c r="M56" s="493"/>
      <c r="N56" s="493"/>
      <c r="O56" s="493"/>
      <c r="P56" s="493"/>
      <c r="Q56" s="493"/>
      <c r="R56" s="493"/>
    </row>
    <row r="57" spans="1:29">
      <c r="A57" s="493"/>
      <c r="B57" s="493"/>
      <c r="C57" s="493"/>
      <c r="D57" s="493"/>
      <c r="E57" s="493"/>
      <c r="F57" s="493"/>
      <c r="G57" s="493"/>
      <c r="H57" s="493"/>
      <c r="I57" s="493"/>
      <c r="J57" s="493"/>
      <c r="K57" s="493"/>
      <c r="L57" s="493"/>
      <c r="M57" s="493"/>
      <c r="N57" s="493"/>
      <c r="O57" s="493"/>
      <c r="P57" s="493"/>
      <c r="Q57" s="493"/>
      <c r="R57" s="493"/>
    </row>
    <row r="58" spans="1:29">
      <c r="A58" s="493"/>
      <c r="B58" s="493"/>
      <c r="C58" s="493"/>
      <c r="D58" s="493"/>
      <c r="E58" s="493"/>
      <c r="F58" s="493"/>
      <c r="G58" s="493"/>
      <c r="H58" s="493"/>
      <c r="I58" s="493"/>
      <c r="J58" s="493"/>
      <c r="K58" s="493"/>
      <c r="L58" s="493"/>
      <c r="M58" s="493"/>
      <c r="N58" s="493"/>
      <c r="O58" s="493"/>
      <c r="P58" s="493"/>
      <c r="Q58" s="493"/>
      <c r="R58" s="493"/>
    </row>
    <row r="59" spans="1:29">
      <c r="A59" s="493"/>
      <c r="B59" s="493"/>
      <c r="C59" s="493"/>
      <c r="D59" s="493"/>
      <c r="E59" s="493"/>
      <c r="F59" s="493"/>
      <c r="G59" s="493"/>
      <c r="H59" s="493"/>
      <c r="I59" s="493"/>
      <c r="J59" s="493"/>
      <c r="K59" s="493"/>
      <c r="L59" s="493"/>
      <c r="M59" s="493"/>
      <c r="N59" s="493"/>
      <c r="O59" s="493"/>
      <c r="P59" s="493"/>
      <c r="Q59" s="493"/>
      <c r="R59" s="493"/>
    </row>
    <row r="60" spans="1:29">
      <c r="A60" s="493"/>
      <c r="B60" s="493"/>
      <c r="C60" s="493"/>
      <c r="D60" s="493"/>
      <c r="E60" s="493"/>
      <c r="F60" s="493"/>
      <c r="G60" s="493"/>
      <c r="H60" s="493"/>
      <c r="I60" s="493"/>
      <c r="J60" s="493"/>
      <c r="K60" s="493"/>
      <c r="L60" s="493"/>
      <c r="M60" s="493"/>
      <c r="N60" s="493"/>
      <c r="O60" s="493"/>
      <c r="P60" s="493"/>
      <c r="Q60" s="493"/>
      <c r="R60" s="493"/>
    </row>
    <row r="61" spans="1:29">
      <c r="A61" s="493"/>
      <c r="B61" s="493"/>
      <c r="C61" s="493"/>
      <c r="D61" s="493"/>
      <c r="E61" s="493"/>
      <c r="F61" s="493"/>
      <c r="G61" s="493"/>
      <c r="H61" s="493"/>
      <c r="I61" s="493"/>
      <c r="J61" s="493"/>
      <c r="K61" s="493"/>
      <c r="L61" s="493"/>
      <c r="M61" s="493"/>
      <c r="N61" s="493"/>
      <c r="O61" s="493"/>
      <c r="P61" s="493"/>
      <c r="Q61" s="493"/>
      <c r="R61" s="493"/>
    </row>
    <row r="62" spans="1:29">
      <c r="A62" s="493"/>
      <c r="B62" s="493"/>
      <c r="C62" s="493"/>
      <c r="D62" s="493"/>
      <c r="E62" s="493"/>
      <c r="F62" s="493"/>
      <c r="G62" s="493"/>
      <c r="H62" s="493"/>
      <c r="I62" s="493"/>
      <c r="J62" s="493"/>
      <c r="K62" s="493"/>
      <c r="L62" s="493"/>
      <c r="M62" s="493"/>
      <c r="N62" s="493"/>
      <c r="O62" s="493"/>
      <c r="P62" s="493"/>
      <c r="Q62" s="493"/>
      <c r="R62" s="493"/>
    </row>
    <row r="63" spans="1:29">
      <c r="A63" s="493"/>
      <c r="B63" s="493"/>
      <c r="C63" s="493"/>
      <c r="D63" s="493"/>
      <c r="E63" s="493"/>
      <c r="F63" s="493"/>
      <c r="G63" s="493"/>
      <c r="H63" s="493"/>
      <c r="I63" s="493"/>
      <c r="J63" s="493"/>
      <c r="K63" s="493"/>
      <c r="L63" s="493"/>
      <c r="M63" s="493"/>
      <c r="N63" s="493"/>
      <c r="O63" s="493"/>
      <c r="P63" s="493"/>
      <c r="Q63" s="493"/>
      <c r="R63" s="493"/>
    </row>
    <row r="64" spans="1:29">
      <c r="A64" s="493"/>
      <c r="B64" s="493"/>
      <c r="C64" s="493"/>
      <c r="D64" s="493"/>
      <c r="E64" s="493"/>
      <c r="F64" s="493"/>
      <c r="G64" s="493"/>
      <c r="H64" s="493"/>
      <c r="I64" s="493"/>
      <c r="J64" s="493"/>
      <c r="K64" s="493"/>
      <c r="L64" s="493"/>
      <c r="M64" s="493"/>
      <c r="N64" s="493"/>
      <c r="O64" s="493"/>
      <c r="P64" s="493"/>
      <c r="Q64" s="493"/>
      <c r="R64" s="493"/>
    </row>
    <row r="65" spans="1:18">
      <c r="A65" s="493"/>
      <c r="B65" s="493"/>
      <c r="C65" s="493"/>
      <c r="D65" s="493"/>
      <c r="E65" s="493"/>
      <c r="F65" s="493"/>
      <c r="G65" s="493"/>
      <c r="H65" s="493"/>
      <c r="I65" s="493"/>
      <c r="J65" s="493"/>
      <c r="K65" s="493"/>
      <c r="L65" s="493"/>
      <c r="M65" s="493"/>
      <c r="N65" s="493"/>
      <c r="O65" s="493"/>
      <c r="P65" s="493"/>
      <c r="Q65" s="493"/>
      <c r="R65" s="493"/>
    </row>
    <row r="66" spans="1:18">
      <c r="A66" s="493"/>
      <c r="B66" s="493"/>
      <c r="C66" s="493"/>
      <c r="D66" s="493"/>
      <c r="E66" s="493"/>
      <c r="F66" s="493"/>
      <c r="G66" s="493"/>
      <c r="H66" s="493"/>
      <c r="I66" s="493"/>
      <c r="J66" s="493"/>
      <c r="K66" s="493"/>
      <c r="L66" s="493"/>
      <c r="M66" s="493"/>
      <c r="N66" s="493"/>
      <c r="O66" s="493"/>
      <c r="P66" s="493"/>
      <c r="Q66" s="493"/>
      <c r="R66" s="493"/>
    </row>
    <row r="67" spans="1:18">
      <c r="A67" s="493"/>
      <c r="B67" s="493"/>
      <c r="C67" s="493"/>
      <c r="D67" s="493"/>
      <c r="E67" s="493"/>
      <c r="F67" s="493"/>
      <c r="G67" s="493"/>
      <c r="H67" s="493"/>
      <c r="I67" s="493"/>
      <c r="J67" s="493"/>
      <c r="K67" s="493"/>
      <c r="L67" s="493"/>
      <c r="M67" s="493"/>
      <c r="N67" s="493"/>
      <c r="O67" s="493"/>
      <c r="P67" s="493"/>
      <c r="Q67" s="493"/>
      <c r="R67" s="493"/>
    </row>
    <row r="68" spans="1:18">
      <c r="A68" s="493"/>
      <c r="B68" s="493"/>
      <c r="C68" s="493"/>
      <c r="D68" s="493"/>
      <c r="E68" s="493"/>
      <c r="F68" s="493"/>
      <c r="G68" s="493"/>
      <c r="H68" s="493"/>
      <c r="I68" s="493"/>
      <c r="J68" s="493"/>
      <c r="K68" s="493"/>
      <c r="L68" s="493"/>
      <c r="M68" s="493"/>
      <c r="N68" s="493"/>
      <c r="O68" s="493"/>
      <c r="P68" s="493"/>
      <c r="Q68" s="493"/>
      <c r="R68" s="493"/>
    </row>
    <row r="69" spans="1:18">
      <c r="A69" s="493"/>
      <c r="B69" s="493"/>
      <c r="C69" s="493"/>
      <c r="D69" s="493"/>
      <c r="E69" s="493"/>
      <c r="F69" s="493"/>
      <c r="G69" s="493"/>
      <c r="H69" s="493"/>
      <c r="I69" s="493"/>
      <c r="J69" s="493"/>
      <c r="K69" s="493"/>
      <c r="L69" s="493"/>
      <c r="M69" s="493"/>
      <c r="N69" s="493"/>
      <c r="O69" s="493"/>
      <c r="P69" s="493"/>
      <c r="Q69" s="493"/>
      <c r="R69" s="493"/>
    </row>
    <row r="70" spans="1:18">
      <c r="A70" s="493"/>
      <c r="B70" s="493"/>
      <c r="C70" s="493"/>
      <c r="D70" s="493"/>
      <c r="E70" s="493"/>
      <c r="F70" s="493"/>
      <c r="G70" s="493"/>
      <c r="H70" s="493"/>
      <c r="I70" s="493"/>
      <c r="J70" s="493"/>
      <c r="K70" s="493"/>
      <c r="L70" s="493"/>
      <c r="M70" s="493"/>
      <c r="N70" s="493"/>
      <c r="O70" s="493"/>
      <c r="P70" s="493"/>
      <c r="Q70" s="493"/>
      <c r="R70" s="493"/>
    </row>
    <row r="71" spans="1:18">
      <c r="A71" s="493"/>
      <c r="B71" s="493"/>
      <c r="C71" s="493"/>
      <c r="D71" s="493"/>
      <c r="E71" s="493"/>
      <c r="F71" s="493"/>
      <c r="G71" s="493"/>
      <c r="H71" s="493"/>
      <c r="I71" s="493"/>
      <c r="J71" s="493"/>
      <c r="K71" s="493"/>
      <c r="L71" s="493"/>
      <c r="M71" s="493"/>
      <c r="N71" s="493"/>
      <c r="O71" s="493"/>
      <c r="P71" s="493"/>
      <c r="Q71" s="493"/>
      <c r="R71" s="493"/>
    </row>
    <row r="72" spans="1:18">
      <c r="A72" s="493"/>
      <c r="B72" s="493"/>
      <c r="C72" s="493"/>
      <c r="D72" s="493"/>
      <c r="E72" s="493"/>
      <c r="F72" s="493"/>
      <c r="G72" s="493"/>
      <c r="H72" s="493"/>
      <c r="I72" s="493"/>
      <c r="J72" s="493"/>
      <c r="K72" s="493"/>
      <c r="L72" s="493"/>
      <c r="M72" s="493"/>
      <c r="N72" s="493"/>
      <c r="O72" s="493"/>
      <c r="P72" s="493"/>
      <c r="Q72" s="493"/>
      <c r="R72" s="493"/>
    </row>
    <row r="73" spans="1:18">
      <c r="A73" s="493"/>
      <c r="B73" s="493"/>
      <c r="C73" s="493"/>
      <c r="D73" s="493"/>
      <c r="E73" s="493"/>
      <c r="F73" s="493"/>
      <c r="G73" s="493"/>
      <c r="H73" s="493"/>
      <c r="I73" s="493"/>
      <c r="J73" s="493"/>
      <c r="K73" s="493"/>
      <c r="L73" s="493"/>
      <c r="M73" s="493"/>
      <c r="N73" s="493"/>
      <c r="O73" s="493"/>
      <c r="P73" s="493"/>
      <c r="Q73" s="493"/>
      <c r="R73" s="493"/>
    </row>
    <row r="74" spans="1:18">
      <c r="A74" s="493"/>
      <c r="B74" s="493"/>
      <c r="C74" s="493"/>
      <c r="D74" s="493"/>
      <c r="E74" s="493"/>
      <c r="F74" s="493"/>
      <c r="G74" s="493"/>
      <c r="H74" s="493"/>
      <c r="I74" s="493"/>
      <c r="J74" s="493"/>
      <c r="K74" s="493"/>
      <c r="L74" s="493"/>
      <c r="M74" s="493"/>
      <c r="N74" s="493"/>
      <c r="O74" s="493"/>
      <c r="P74" s="493"/>
      <c r="Q74" s="493"/>
      <c r="R74" s="493"/>
    </row>
    <row r="75" spans="1:18">
      <c r="A75" s="493"/>
      <c r="B75" s="493"/>
      <c r="C75" s="493"/>
      <c r="D75" s="493"/>
      <c r="E75" s="493"/>
      <c r="F75" s="493"/>
      <c r="G75" s="493"/>
      <c r="H75" s="493"/>
      <c r="I75" s="493"/>
      <c r="J75" s="493"/>
      <c r="K75" s="493"/>
      <c r="L75" s="493"/>
      <c r="M75" s="493"/>
      <c r="N75" s="493"/>
      <c r="O75" s="493"/>
      <c r="P75" s="493"/>
      <c r="Q75" s="493"/>
      <c r="R75" s="493"/>
    </row>
    <row r="76" spans="1:18">
      <c r="A76" s="493"/>
      <c r="B76" s="493"/>
      <c r="C76" s="493"/>
      <c r="D76" s="493"/>
      <c r="E76" s="493"/>
      <c r="F76" s="493"/>
      <c r="G76" s="493"/>
      <c r="H76" s="493"/>
      <c r="I76" s="493"/>
      <c r="J76" s="493"/>
      <c r="K76" s="493"/>
      <c r="L76" s="493"/>
      <c r="M76" s="493"/>
      <c r="N76" s="493"/>
      <c r="O76" s="493"/>
      <c r="P76" s="493"/>
      <c r="Q76" s="493"/>
      <c r="R76" s="493"/>
    </row>
    <row r="77" spans="1:18">
      <c r="A77" s="493"/>
      <c r="B77" s="493"/>
      <c r="C77" s="493"/>
      <c r="D77" s="493"/>
      <c r="E77" s="493"/>
      <c r="F77" s="493"/>
      <c r="G77" s="493"/>
      <c r="H77" s="493"/>
      <c r="I77" s="493"/>
      <c r="J77" s="493"/>
      <c r="K77" s="493"/>
      <c r="L77" s="493"/>
      <c r="M77" s="493"/>
      <c r="N77" s="493"/>
      <c r="O77" s="493"/>
      <c r="P77" s="493"/>
      <c r="Q77" s="493"/>
      <c r="R77" s="493"/>
    </row>
    <row r="78" spans="1:18">
      <c r="A78" s="493"/>
      <c r="B78" s="493"/>
      <c r="C78" s="493"/>
      <c r="D78" s="493"/>
      <c r="E78" s="493"/>
      <c r="F78" s="493"/>
      <c r="G78" s="493"/>
      <c r="H78" s="493"/>
      <c r="I78" s="493"/>
      <c r="J78" s="493"/>
      <c r="K78" s="493"/>
      <c r="L78" s="493"/>
      <c r="M78" s="493"/>
      <c r="N78" s="493"/>
      <c r="O78" s="493"/>
      <c r="P78" s="493"/>
      <c r="Q78" s="493"/>
      <c r="R78" s="493"/>
    </row>
    <row r="79" spans="1:18">
      <c r="A79" s="493"/>
      <c r="B79" s="493"/>
      <c r="C79" s="493"/>
      <c r="D79" s="493"/>
      <c r="E79" s="493"/>
      <c r="F79" s="493"/>
      <c r="G79" s="493"/>
      <c r="H79" s="493"/>
      <c r="I79" s="493"/>
      <c r="J79" s="493"/>
      <c r="K79" s="493"/>
      <c r="L79" s="493"/>
      <c r="M79" s="493"/>
      <c r="N79" s="493"/>
      <c r="O79" s="493"/>
      <c r="P79" s="493"/>
      <c r="Q79" s="493"/>
      <c r="R79" s="493"/>
    </row>
    <row r="80" spans="1:18">
      <c r="A80" s="493"/>
      <c r="B80" s="493"/>
      <c r="C80" s="493"/>
      <c r="D80" s="493"/>
      <c r="E80" s="493"/>
      <c r="F80" s="493"/>
      <c r="G80" s="493"/>
      <c r="H80" s="493"/>
      <c r="I80" s="493"/>
      <c r="J80" s="493"/>
      <c r="K80" s="493"/>
      <c r="L80" s="493"/>
      <c r="M80" s="493"/>
      <c r="N80" s="493"/>
      <c r="O80" s="493"/>
      <c r="P80" s="493"/>
      <c r="Q80" s="493"/>
      <c r="R80" s="493"/>
    </row>
    <row r="81" spans="1:18">
      <c r="A81" s="493"/>
      <c r="B81" s="493"/>
      <c r="C81" s="493"/>
      <c r="D81" s="493"/>
      <c r="E81" s="493"/>
      <c r="F81" s="493"/>
      <c r="G81" s="493"/>
      <c r="H81" s="493"/>
      <c r="I81" s="493"/>
      <c r="J81" s="493"/>
      <c r="K81" s="493"/>
      <c r="L81" s="493"/>
      <c r="M81" s="493"/>
      <c r="N81" s="493"/>
      <c r="O81" s="493"/>
      <c r="P81" s="493"/>
      <c r="Q81" s="493"/>
      <c r="R81" s="493"/>
    </row>
    <row r="82" spans="1:18">
      <c r="A82" s="493"/>
      <c r="B82" s="493"/>
      <c r="C82" s="493"/>
      <c r="D82" s="493"/>
      <c r="E82" s="493"/>
      <c r="F82" s="493"/>
      <c r="G82" s="493"/>
      <c r="H82" s="493"/>
      <c r="I82" s="493"/>
      <c r="J82" s="493"/>
      <c r="K82" s="493"/>
      <c r="L82" s="493"/>
      <c r="M82" s="493"/>
      <c r="N82" s="493"/>
      <c r="O82" s="493"/>
      <c r="P82" s="493"/>
      <c r="Q82" s="493"/>
      <c r="R82" s="493"/>
    </row>
    <row r="83" spans="1:18">
      <c r="A83" s="493"/>
      <c r="B83" s="493"/>
      <c r="C83" s="493"/>
      <c r="D83" s="493"/>
      <c r="E83" s="493"/>
      <c r="F83" s="493"/>
      <c r="G83" s="493"/>
      <c r="H83" s="493"/>
      <c r="I83" s="493"/>
      <c r="J83" s="493"/>
      <c r="K83" s="493"/>
      <c r="L83" s="493"/>
      <c r="M83" s="493"/>
      <c r="N83" s="493"/>
      <c r="O83" s="493"/>
      <c r="P83" s="493"/>
      <c r="Q83" s="493"/>
      <c r="R83" s="493"/>
    </row>
    <row r="84" spans="1:18">
      <c r="A84" s="493"/>
      <c r="B84" s="493"/>
      <c r="C84" s="493"/>
      <c r="D84" s="493"/>
      <c r="E84" s="493"/>
      <c r="F84" s="493"/>
      <c r="G84" s="493"/>
      <c r="H84" s="493"/>
      <c r="I84" s="493"/>
      <c r="J84" s="493"/>
      <c r="K84" s="493"/>
      <c r="L84" s="493"/>
      <c r="M84" s="493"/>
      <c r="N84" s="493"/>
      <c r="O84" s="493"/>
      <c r="P84" s="493"/>
      <c r="Q84" s="493"/>
      <c r="R84" s="493"/>
    </row>
    <row r="85" spans="1:18">
      <c r="A85" s="493"/>
      <c r="B85" s="493"/>
      <c r="C85" s="493"/>
      <c r="D85" s="493"/>
      <c r="E85" s="493"/>
      <c r="F85" s="493"/>
      <c r="G85" s="493"/>
      <c r="H85" s="493"/>
      <c r="I85" s="493"/>
      <c r="J85" s="493"/>
      <c r="K85" s="493"/>
      <c r="L85" s="493"/>
      <c r="M85" s="493"/>
      <c r="N85" s="493"/>
      <c r="O85" s="493"/>
      <c r="P85" s="493"/>
      <c r="Q85" s="493"/>
      <c r="R85" s="493"/>
    </row>
    <row r="86" spans="1:18">
      <c r="A86" s="493"/>
      <c r="B86" s="493"/>
      <c r="C86" s="493"/>
      <c r="D86" s="493"/>
      <c r="E86" s="493"/>
      <c r="F86" s="493"/>
      <c r="G86" s="493"/>
      <c r="H86" s="493"/>
      <c r="I86" s="493"/>
      <c r="J86" s="493"/>
      <c r="K86" s="493"/>
      <c r="L86" s="493"/>
      <c r="M86" s="493"/>
      <c r="N86" s="493"/>
      <c r="O86" s="493"/>
      <c r="P86" s="493"/>
      <c r="Q86" s="493"/>
      <c r="R86" s="493"/>
    </row>
    <row r="87" spans="1:18">
      <c r="A87" s="493"/>
      <c r="B87" s="493"/>
      <c r="C87" s="493"/>
      <c r="D87" s="493"/>
      <c r="E87" s="493"/>
      <c r="F87" s="493"/>
      <c r="G87" s="493"/>
      <c r="H87" s="493"/>
      <c r="I87" s="493"/>
      <c r="J87" s="493"/>
      <c r="K87" s="493"/>
      <c r="L87" s="493"/>
      <c r="M87" s="493"/>
      <c r="N87" s="493"/>
      <c r="O87" s="493"/>
      <c r="P87" s="493"/>
      <c r="Q87" s="493"/>
      <c r="R87" s="493"/>
    </row>
    <row r="88" spans="1:18">
      <c r="A88" s="493"/>
      <c r="B88" s="493"/>
      <c r="C88" s="493"/>
      <c r="D88" s="493"/>
      <c r="E88" s="493"/>
      <c r="F88" s="493"/>
      <c r="G88" s="493"/>
      <c r="H88" s="493"/>
      <c r="I88" s="493"/>
      <c r="J88" s="493"/>
      <c r="K88" s="493"/>
      <c r="L88" s="493"/>
      <c r="M88" s="493"/>
      <c r="N88" s="493"/>
      <c r="O88" s="493"/>
      <c r="P88" s="493"/>
      <c r="Q88" s="493"/>
      <c r="R88" s="493"/>
    </row>
    <row r="89" spans="1:18">
      <c r="A89" s="493"/>
      <c r="B89" s="493"/>
      <c r="C89" s="493"/>
      <c r="D89" s="493"/>
      <c r="E89" s="493"/>
      <c r="F89" s="493"/>
      <c r="G89" s="493"/>
      <c r="H89" s="493"/>
      <c r="I89" s="493"/>
      <c r="J89" s="493"/>
      <c r="K89" s="493"/>
      <c r="L89" s="493"/>
      <c r="M89" s="493"/>
      <c r="N89" s="493"/>
      <c r="O89" s="493"/>
      <c r="P89" s="493"/>
      <c r="Q89" s="493"/>
      <c r="R89" s="493"/>
    </row>
    <row r="90" spans="1:18">
      <c r="A90" s="493"/>
      <c r="B90" s="493"/>
      <c r="C90" s="493"/>
      <c r="D90" s="493"/>
      <c r="E90" s="493"/>
      <c r="F90" s="493"/>
      <c r="G90" s="493"/>
      <c r="H90" s="493"/>
      <c r="I90" s="493"/>
      <c r="J90" s="493"/>
      <c r="K90" s="493"/>
      <c r="L90" s="493"/>
      <c r="M90" s="493"/>
      <c r="N90" s="493"/>
      <c r="O90" s="493"/>
      <c r="P90" s="493"/>
      <c r="Q90" s="493"/>
      <c r="R90" s="493"/>
    </row>
    <row r="91" spans="1:18">
      <c r="A91" s="493"/>
      <c r="B91" s="493"/>
      <c r="C91" s="493"/>
      <c r="D91" s="493"/>
      <c r="E91" s="493"/>
      <c r="F91" s="493"/>
      <c r="G91" s="493"/>
      <c r="H91" s="493"/>
      <c r="I91" s="493"/>
      <c r="J91" s="493"/>
      <c r="K91" s="493"/>
      <c r="L91" s="493"/>
      <c r="M91" s="493"/>
      <c r="N91" s="493"/>
      <c r="O91" s="493"/>
      <c r="P91" s="493"/>
      <c r="Q91" s="493"/>
      <c r="R91" s="493"/>
    </row>
    <row r="92" spans="1:18">
      <c r="A92" s="493"/>
      <c r="B92" s="493"/>
      <c r="C92" s="493"/>
      <c r="D92" s="493"/>
      <c r="E92" s="493"/>
      <c r="F92" s="493"/>
      <c r="G92" s="493"/>
      <c r="H92" s="493"/>
      <c r="I92" s="493"/>
      <c r="J92" s="493"/>
      <c r="K92" s="493"/>
      <c r="L92" s="493"/>
      <c r="M92" s="493"/>
      <c r="N92" s="493"/>
      <c r="O92" s="493"/>
      <c r="P92" s="493"/>
      <c r="Q92" s="493"/>
      <c r="R92" s="493"/>
    </row>
    <row r="93" spans="1:18">
      <c r="A93" s="493"/>
      <c r="B93" s="493"/>
      <c r="C93" s="493"/>
      <c r="D93" s="493"/>
      <c r="E93" s="493"/>
      <c r="F93" s="493"/>
      <c r="G93" s="493"/>
      <c r="H93" s="493"/>
      <c r="I93" s="493"/>
      <c r="J93" s="493"/>
      <c r="K93" s="493"/>
      <c r="L93" s="493"/>
      <c r="M93" s="493"/>
      <c r="N93" s="493"/>
      <c r="O93" s="493"/>
      <c r="P93" s="493"/>
      <c r="Q93" s="493"/>
      <c r="R93" s="493"/>
    </row>
    <row r="94" spans="1:18">
      <c r="A94" s="493"/>
      <c r="B94" s="493"/>
      <c r="C94" s="493"/>
      <c r="D94" s="493"/>
      <c r="E94" s="493"/>
      <c r="F94" s="493"/>
      <c r="G94" s="493"/>
      <c r="H94" s="493"/>
      <c r="I94" s="493"/>
      <c r="J94" s="493"/>
      <c r="K94" s="493"/>
      <c r="L94" s="493"/>
      <c r="M94" s="493"/>
      <c r="N94" s="493"/>
      <c r="O94" s="493"/>
      <c r="P94" s="493"/>
      <c r="Q94" s="493"/>
      <c r="R94" s="493"/>
    </row>
    <row r="95" spans="1:18">
      <c r="A95" s="493"/>
      <c r="B95" s="493"/>
      <c r="C95" s="493"/>
      <c r="D95" s="493"/>
      <c r="E95" s="493"/>
      <c r="F95" s="493"/>
      <c r="G95" s="493"/>
      <c r="H95" s="493"/>
      <c r="I95" s="493"/>
      <c r="J95" s="493"/>
      <c r="K95" s="493"/>
      <c r="L95" s="493"/>
      <c r="M95" s="493"/>
      <c r="N95" s="493"/>
      <c r="O95" s="493"/>
      <c r="P95" s="493"/>
      <c r="Q95" s="493"/>
      <c r="R95" s="493"/>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8"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102"/>
  <sheetViews>
    <sheetView zoomScale="81" zoomScaleNormal="81" zoomScaleSheetLayoutView="100" workbookViewId="0">
      <selection activeCell="C10" sqref="C10"/>
    </sheetView>
  </sheetViews>
  <sheetFormatPr defaultColWidth="8.7109375" defaultRowHeight="12.75"/>
  <cols>
    <col min="1" max="1" width="9.28515625" style="546" customWidth="1"/>
    <col min="2" max="2" width="65.28515625" style="493" bestFit="1" customWidth="1"/>
    <col min="3" max="3" width="16.42578125" style="493" bestFit="1" customWidth="1"/>
    <col min="4" max="4" width="1.5703125" style="493" customWidth="1"/>
    <col min="5" max="5" width="15" style="493" bestFit="1" customWidth="1"/>
    <col min="6" max="7" width="8.7109375" style="493"/>
    <col min="8" max="8" width="10.7109375" style="493" bestFit="1" customWidth="1"/>
    <col min="9" max="16384" width="8.7109375" style="493"/>
  </cols>
  <sheetData>
    <row r="1" spans="1:15" ht="15">
      <c r="A1" s="547"/>
    </row>
    <row r="2" spans="1:15" ht="15">
      <c r="A2" s="2192" t="str">
        <f>+'OKT TCOS'!F4</f>
        <v xml:space="preserve">AEP West SPP Member Transmission Companies </v>
      </c>
      <c r="B2" s="2192"/>
      <c r="C2" s="2192"/>
      <c r="D2" s="2192"/>
      <c r="E2" s="2192"/>
      <c r="F2" s="650"/>
      <c r="G2" s="650"/>
      <c r="H2" s="650"/>
      <c r="I2" s="650"/>
      <c r="J2" s="650"/>
      <c r="K2" s="650"/>
      <c r="L2" s="650"/>
      <c r="M2" s="650"/>
      <c r="N2" s="650"/>
      <c r="O2" s="650"/>
    </row>
    <row r="3" spans="1:15" ht="15">
      <c r="A3" s="2186" t="str">
        <f>+'OKT WS A-1 - Plant'!A3</f>
        <v xml:space="preserve">Actual / Projected 2022 Rate Year Cost of Service Formula Rate </v>
      </c>
      <c r="B3" s="2186"/>
      <c r="C3" s="2186"/>
      <c r="D3" s="2186"/>
      <c r="E3" s="2186"/>
      <c r="F3" s="652"/>
      <c r="G3" s="652"/>
      <c r="H3" s="652"/>
      <c r="I3" s="652"/>
      <c r="J3" s="652"/>
      <c r="K3" s="652"/>
      <c r="L3" s="652"/>
      <c r="M3" s="651"/>
      <c r="N3" s="651"/>
      <c r="O3" s="651"/>
    </row>
    <row r="4" spans="1:15" ht="15.75">
      <c r="A4" s="2187" t="s">
        <v>111</v>
      </c>
      <c r="B4" s="2186"/>
      <c r="C4" s="2186"/>
      <c r="D4" s="2186"/>
      <c r="E4" s="2186"/>
      <c r="F4" s="652"/>
      <c r="G4" s="652"/>
      <c r="H4" s="652"/>
      <c r="I4" s="652"/>
      <c r="J4" s="652"/>
      <c r="K4" s="652"/>
      <c r="L4" s="652"/>
      <c r="M4" s="652"/>
      <c r="N4" s="652"/>
      <c r="O4" s="652"/>
    </row>
    <row r="5" spans="1:15" ht="15.75">
      <c r="A5" s="2243" t="str">
        <f>+'OKT TCOS'!F8</f>
        <v>AEP OKLAHOMA TRANSMISSION COMPANY, INC.</v>
      </c>
      <c r="B5" s="2243"/>
      <c r="C5" s="2243"/>
      <c r="D5" s="2243"/>
      <c r="E5" s="2243"/>
      <c r="F5" s="110"/>
      <c r="G5" s="110"/>
      <c r="H5" s="110"/>
      <c r="I5" s="110"/>
      <c r="J5" s="110"/>
      <c r="K5" s="110"/>
      <c r="L5" s="110"/>
      <c r="M5" s="110"/>
      <c r="N5" s="110"/>
      <c r="O5" s="110"/>
    </row>
    <row r="7" spans="1:15">
      <c r="A7" s="712" t="s">
        <v>305</v>
      </c>
      <c r="B7" s="553" t="s">
        <v>298</v>
      </c>
      <c r="C7" s="553" t="s">
        <v>299</v>
      </c>
    </row>
    <row r="8" spans="1:15">
      <c r="A8" s="712" t="s">
        <v>243</v>
      </c>
      <c r="B8" s="712" t="s">
        <v>303</v>
      </c>
      <c r="C8" s="712">
        <f>+'OKT TCOS'!N2</f>
        <v>2022</v>
      </c>
    </row>
    <row r="9" spans="1:15">
      <c r="B9" s="713"/>
      <c r="C9" s="553"/>
    </row>
    <row r="10" spans="1:15">
      <c r="A10" s="546">
        <v>1</v>
      </c>
      <c r="B10" s="571" t="str">
        <f>"Net Funds from IPP Customers @ 12/31/"&amp;C8-1&amp;" ("&amp;C8&amp;" FORM 1, P269, (B))"</f>
        <v>Net Funds from IPP Customers @ 12/31/2021 (2022 FORM 1, P269, (B))</v>
      </c>
      <c r="C10" s="569">
        <v>0</v>
      </c>
      <c r="D10" s="585"/>
      <c r="E10" s="572"/>
    </row>
    <row r="11" spans="1:15">
      <c r="A11" s="546" t="s">
        <v>118</v>
      </c>
      <c r="B11" s="571"/>
      <c r="C11" s="585"/>
      <c r="D11" s="585"/>
    </row>
    <row r="12" spans="1:15">
      <c r="A12" s="546">
        <v>2</v>
      </c>
      <c r="B12" s="714" t="s">
        <v>588</v>
      </c>
      <c r="C12" s="569"/>
      <c r="D12" s="585"/>
    </row>
    <row r="13" spans="1:15">
      <c r="B13" s="571"/>
      <c r="C13" s="585"/>
      <c r="D13" s="585"/>
    </row>
    <row r="14" spans="1:15">
      <c r="A14" s="546">
        <f>+A12+1</f>
        <v>3</v>
      </c>
      <c r="B14" s="714" t="s">
        <v>589</v>
      </c>
      <c r="C14" s="569"/>
      <c r="D14" s="585"/>
    </row>
    <row r="15" spans="1:15">
      <c r="B15" s="571"/>
      <c r="C15" s="585"/>
      <c r="D15" s="585"/>
    </row>
    <row r="16" spans="1:15">
      <c r="A16" s="546">
        <f>+A14+1</f>
        <v>4</v>
      </c>
      <c r="B16" s="715" t="s">
        <v>590</v>
      </c>
      <c r="C16" s="585"/>
      <c r="D16" s="585"/>
    </row>
    <row r="17" spans="1:8">
      <c r="A17" s="546">
        <f>+A16+1</f>
        <v>5</v>
      </c>
      <c r="B17" s="571" t="s">
        <v>355</v>
      </c>
      <c r="C17" s="569">
        <v>0</v>
      </c>
      <c r="D17" s="585"/>
      <c r="H17" s="585"/>
    </row>
    <row r="18" spans="1:8">
      <c r="A18" s="546">
        <f>+A17+1</f>
        <v>6</v>
      </c>
      <c r="B18" s="571" t="s">
        <v>251</v>
      </c>
      <c r="C18" s="567"/>
      <c r="D18" s="585"/>
    </row>
    <row r="19" spans="1:8">
      <c r="B19" s="571"/>
      <c r="C19" s="716"/>
      <c r="D19" s="585"/>
    </row>
    <row r="20" spans="1:8">
      <c r="A20" s="546">
        <f>+A18+1</f>
        <v>7</v>
      </c>
      <c r="B20" s="571" t="str">
        <f>" Net Funds from IPP Customers 12/31/"&amp;C8&amp;" ("&amp;C8&amp;" FORM 1, P269, (F))"</f>
        <v xml:space="preserve"> Net Funds from IPP Customers 12/31/2022 (2022 FORM 1, P269, (F))</v>
      </c>
      <c r="C20" s="585">
        <f>+C10+C12+C14+C17+C18</f>
        <v>0</v>
      </c>
      <c r="D20" s="549"/>
      <c r="E20" s="572"/>
    </row>
    <row r="21" spans="1:8">
      <c r="B21" s="571"/>
      <c r="C21" s="585"/>
      <c r="D21" s="585"/>
    </row>
    <row r="22" spans="1:8">
      <c r="A22" s="546">
        <f>+A20+1</f>
        <v>8</v>
      </c>
      <c r="B22" s="571" t="str">
        <f>"Average Balance for "&amp;C8&amp;" ((ln "&amp;A10&amp;" + ln "&amp;A20&amp;")/2)"</f>
        <v>Average Balance for 2022 ((ln 1 + ln 7)/2)</v>
      </c>
      <c r="C22" s="717">
        <f>AVERAGE(C20,C10)</f>
        <v>0</v>
      </c>
      <c r="D22" s="585"/>
    </row>
    <row r="23" spans="1:8">
      <c r="C23" s="585"/>
      <c r="D23" s="585"/>
    </row>
    <row r="24" spans="1:8">
      <c r="C24" s="585"/>
      <c r="D24" s="585"/>
    </row>
    <row r="31" spans="1:8">
      <c r="D31" s="718"/>
    </row>
    <row r="37" spans="3:3">
      <c r="C37" s="719"/>
    </row>
    <row r="54" spans="1:1">
      <c r="A54" s="493"/>
    </row>
    <row r="55" spans="1:1">
      <c r="A55" s="493"/>
    </row>
    <row r="56" spans="1:1">
      <c r="A56" s="493"/>
    </row>
    <row r="57" spans="1:1">
      <c r="A57" s="493"/>
    </row>
    <row r="58" spans="1:1">
      <c r="A58" s="493"/>
    </row>
    <row r="59" spans="1:1">
      <c r="A59" s="493"/>
    </row>
    <row r="60" spans="1:1">
      <c r="A60" s="493"/>
    </row>
    <row r="61" spans="1:1">
      <c r="A61" s="493"/>
    </row>
    <row r="62" spans="1:1">
      <c r="A62" s="493"/>
    </row>
    <row r="63" spans="1:1">
      <c r="A63" s="493"/>
    </row>
    <row r="64" spans="1:1">
      <c r="A64" s="493"/>
    </row>
    <row r="65" spans="1:1">
      <c r="A65" s="493"/>
    </row>
    <row r="66" spans="1:1">
      <c r="A66" s="493"/>
    </row>
    <row r="67" spans="1:1">
      <c r="A67" s="493"/>
    </row>
    <row r="68" spans="1:1">
      <c r="A68" s="493"/>
    </row>
    <row r="69" spans="1:1">
      <c r="A69" s="493"/>
    </row>
    <row r="70" spans="1:1">
      <c r="A70" s="493"/>
    </row>
    <row r="71" spans="1:1">
      <c r="A71" s="493"/>
    </row>
    <row r="72" spans="1:1">
      <c r="A72" s="493"/>
    </row>
    <row r="73" spans="1:1">
      <c r="A73" s="493"/>
    </row>
    <row r="74" spans="1:1">
      <c r="A74" s="493"/>
    </row>
    <row r="75" spans="1:1">
      <c r="A75" s="493"/>
    </row>
    <row r="76" spans="1:1">
      <c r="A76" s="493"/>
    </row>
    <row r="77" spans="1:1">
      <c r="A77" s="493"/>
    </row>
    <row r="78" spans="1:1">
      <c r="A78" s="493"/>
    </row>
    <row r="79" spans="1:1">
      <c r="A79" s="493"/>
    </row>
    <row r="80" spans="1:1">
      <c r="A80" s="493"/>
    </row>
    <row r="81" spans="1:1">
      <c r="A81" s="493"/>
    </row>
    <row r="82" spans="1:1">
      <c r="A82" s="493"/>
    </row>
    <row r="83" spans="1:1">
      <c r="A83" s="493"/>
    </row>
    <row r="84" spans="1:1">
      <c r="A84" s="493"/>
    </row>
    <row r="85" spans="1:1">
      <c r="A85" s="493"/>
    </row>
    <row r="86" spans="1:1">
      <c r="A86" s="493"/>
    </row>
    <row r="87" spans="1:1">
      <c r="A87" s="493"/>
    </row>
    <row r="88" spans="1:1">
      <c r="A88" s="493"/>
    </row>
    <row r="89" spans="1:1">
      <c r="A89" s="493"/>
    </row>
    <row r="90" spans="1:1">
      <c r="A90" s="493"/>
    </row>
    <row r="91" spans="1:1">
      <c r="A91" s="493"/>
    </row>
    <row r="92" spans="1:1">
      <c r="A92" s="493"/>
    </row>
    <row r="93" spans="1:1">
      <c r="A93" s="493"/>
    </row>
    <row r="94" spans="1:1">
      <c r="A94" s="493"/>
    </row>
    <row r="95" spans="1:1">
      <c r="A95" s="493"/>
    </row>
    <row r="96" spans="1:1">
      <c r="A96" s="493"/>
    </row>
    <row r="97" spans="1:1">
      <c r="A97" s="493"/>
    </row>
    <row r="98" spans="1:1">
      <c r="A98" s="493"/>
    </row>
    <row r="99" spans="1:1">
      <c r="A99" s="493"/>
    </row>
    <row r="100" spans="1:1">
      <c r="A100" s="493"/>
    </row>
    <row r="101" spans="1:1">
      <c r="A101" s="493"/>
    </row>
    <row r="102" spans="1:1">
      <c r="A102" s="493"/>
    </row>
  </sheetData>
  <mergeCells count="4">
    <mergeCell ref="A2:E2"/>
    <mergeCell ref="A3:E3"/>
    <mergeCell ref="A4:E4"/>
    <mergeCell ref="A5:E5"/>
  </mergeCells>
  <phoneticPr fontId="0" type="noConversion"/>
  <printOptions horizontalCentered="1"/>
  <pageMargins left="0.75" right="0.75" top="1" bottom="0.25" header="0.25" footer="0.5"/>
  <pageSetup scale="83"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S171"/>
  <sheetViews>
    <sheetView topLeftCell="G1" zoomScale="81" zoomScaleNormal="81" zoomScaleSheetLayoutView="90" zoomScalePageLayoutView="80" workbookViewId="0">
      <selection activeCell="Q26" sqref="Q26"/>
    </sheetView>
  </sheetViews>
  <sheetFormatPr defaultColWidth="8.7109375" defaultRowHeight="12.75"/>
  <cols>
    <col min="1" max="1" width="9.28515625" style="493" customWidth="1"/>
    <col min="2" max="2" width="6.7109375" style="493" customWidth="1"/>
    <col min="3" max="3" width="24.5703125" style="493" customWidth="1"/>
    <col min="4" max="4" width="17.7109375" style="546" customWidth="1"/>
    <col min="5" max="5" width="21.7109375" style="493" customWidth="1"/>
    <col min="6" max="8" width="17.7109375" style="493" customWidth="1"/>
    <col min="9" max="9" width="19.5703125" style="549" customWidth="1"/>
    <col min="10" max="12" width="17.7109375" style="493" customWidth="1"/>
    <col min="13" max="13" width="20" style="493" customWidth="1"/>
    <col min="14" max="14" width="19.5703125" style="493" customWidth="1"/>
    <col min="15" max="15" width="19" style="589" customWidth="1"/>
    <col min="16" max="16" width="16.42578125" style="589" customWidth="1"/>
    <col min="17" max="17" width="57.7109375" style="493" bestFit="1" customWidth="1"/>
    <col min="18" max="16384" width="8.7109375" style="493"/>
  </cols>
  <sheetData>
    <row r="1" spans="1:19" ht="15">
      <c r="A1" s="547"/>
    </row>
    <row r="2" spans="1:19" ht="18">
      <c r="A2" s="2198" t="str">
        <f>'OKT TCOS'!F4</f>
        <v xml:space="preserve">AEP West SPP Member Transmission Companies </v>
      </c>
      <c r="B2" s="2198"/>
      <c r="C2" s="2198"/>
      <c r="D2" s="2198"/>
      <c r="E2" s="2198"/>
      <c r="F2" s="2198"/>
      <c r="G2" s="2198"/>
      <c r="H2" s="2198"/>
      <c r="I2" s="2198"/>
    </row>
    <row r="3" spans="1:19" ht="18">
      <c r="A3" s="2198" t="str">
        <f>+'OKT WS A-1 - Plant'!A3</f>
        <v xml:space="preserve">Actual / Projected 2022 Rate Year Cost of Service Formula Rate </v>
      </c>
      <c r="B3" s="2198"/>
      <c r="C3" s="2198"/>
      <c r="D3" s="2198"/>
      <c r="E3" s="2198"/>
      <c r="F3" s="2198"/>
      <c r="G3" s="2198"/>
      <c r="H3" s="2198"/>
      <c r="I3" s="2198"/>
      <c r="P3" s="720"/>
    </row>
    <row r="4" spans="1:19" ht="18">
      <c r="A4" s="2198" t="s">
        <v>629</v>
      </c>
      <c r="B4" s="2198"/>
      <c r="C4" s="2198"/>
      <c r="D4" s="2198"/>
      <c r="E4" s="2198"/>
      <c r="F4" s="2198"/>
      <c r="G4" s="2198"/>
      <c r="H4" s="2198"/>
      <c r="I4" s="2198"/>
    </row>
    <row r="5" spans="1:19" ht="18">
      <c r="A5" s="2199" t="str">
        <f>+'OKT TCOS'!F8</f>
        <v>AEP OKLAHOMA TRANSMISSION COMPANY, INC.</v>
      </c>
      <c r="B5" s="2199"/>
      <c r="C5" s="2199"/>
      <c r="D5" s="2199"/>
      <c r="E5" s="2199"/>
      <c r="F5" s="2199"/>
      <c r="G5" s="2199"/>
      <c r="H5" s="2199"/>
      <c r="I5" s="2199"/>
      <c r="P5" s="493"/>
    </row>
    <row r="6" spans="1:19" ht="20.25">
      <c r="A6" s="504"/>
      <c r="C6" s="721"/>
      <c r="P6" s="720" t="s">
        <v>495</v>
      </c>
    </row>
    <row r="7" spans="1:19" ht="35.25" customHeight="1">
      <c r="A7" s="722" t="s">
        <v>305</v>
      </c>
      <c r="B7" s="723" t="s">
        <v>307</v>
      </c>
      <c r="C7" s="2250" t="str">
        <f>"Calculate Return and Income Taxes with "&amp;F12&amp;" basis point ROE increase for Projects Qualified for Incentive."</f>
        <v>Calculate Return and Income Taxes with 0 basis point ROE increase for Projects Qualified for Incentive.</v>
      </c>
      <c r="D7" s="2196"/>
      <c r="E7" s="2196"/>
      <c r="F7" s="2196"/>
      <c r="G7" s="2196"/>
      <c r="H7" s="2196"/>
      <c r="I7" s="2196"/>
      <c r="J7" s="2201" t="s">
        <v>427</v>
      </c>
      <c r="K7" s="2201"/>
      <c r="L7" s="2201"/>
      <c r="M7" s="2201"/>
      <c r="N7" s="2201"/>
    </row>
    <row r="8" spans="1:19" ht="15.75" customHeight="1">
      <c r="A8" s="722" t="s">
        <v>243</v>
      </c>
      <c r="C8" s="724"/>
      <c r="D8" s="724"/>
      <c r="E8" s="724"/>
      <c r="F8" s="724"/>
      <c r="G8" s="724"/>
      <c r="H8" s="724"/>
      <c r="I8" s="724"/>
      <c r="J8" s="2201"/>
      <c r="K8" s="2201"/>
      <c r="L8" s="2201"/>
      <c r="M8" s="2201"/>
      <c r="N8" s="2201"/>
      <c r="P8" s="493"/>
      <c r="Q8" s="493" t="s">
        <v>163</v>
      </c>
    </row>
    <row r="9" spans="1:19" ht="15.75">
      <c r="C9" s="725" t="str">
        <f>"A.   Determine 'R' with hypothetical "&amp;F12&amp;" basis point increase in ROE for Identified Projects"</f>
        <v>A.   Determine 'R' with hypothetical 0 basis point increase in ROE for Identified Projects</v>
      </c>
      <c r="J9" s="2201"/>
      <c r="K9" s="2201"/>
      <c r="L9" s="2201"/>
      <c r="M9" s="2201"/>
      <c r="N9" s="2201"/>
      <c r="P9" s="726" t="s">
        <v>157</v>
      </c>
      <c r="Q9" s="720" t="s">
        <v>88</v>
      </c>
    </row>
    <row r="10" spans="1:19" ht="18" customHeight="1" thickBot="1">
      <c r="J10" s="2201"/>
      <c r="K10" s="2201"/>
      <c r="L10" s="2201"/>
      <c r="M10" s="2201"/>
      <c r="N10" s="2201"/>
      <c r="P10" s="720" t="s">
        <v>434</v>
      </c>
    </row>
    <row r="11" spans="1:19" ht="13.5" thickBot="1">
      <c r="A11" s="546">
        <v>1</v>
      </c>
      <c r="C11" s="1" t="str">
        <f>"   ROE w/o incentives  (TCOS, ln "&amp;'OKT TCOS'!B237&amp;")"</f>
        <v xml:space="preserve">   ROE w/o incentives  (TCOS, ln 143)</v>
      </c>
      <c r="E11" s="727"/>
      <c r="F11" s="728">
        <f>+'OKT TCOS'!J237</f>
        <v>0.105</v>
      </c>
      <c r="G11" s="728"/>
      <c r="H11" s="729"/>
      <c r="I11" s="730"/>
      <c r="J11" s="724"/>
      <c r="K11" s="724"/>
      <c r="L11" s="724"/>
      <c r="M11" s="724"/>
      <c r="N11" s="724"/>
      <c r="O11" s="731"/>
      <c r="P11" s="732" t="s">
        <v>476</v>
      </c>
      <c r="Q11" s="733" t="s">
        <v>87</v>
      </c>
      <c r="R11" s="734"/>
    </row>
    <row r="12" spans="1:19" ht="18" customHeight="1">
      <c r="A12" s="546">
        <f>+A11+1</f>
        <v>2</v>
      </c>
      <c r="C12" s="1" t="s">
        <v>145</v>
      </c>
      <c r="E12" s="727"/>
      <c r="F12" s="735">
        <v>0</v>
      </c>
      <c r="G12" s="736" t="s">
        <v>335</v>
      </c>
      <c r="I12" s="493"/>
      <c r="J12" s="2244" t="s">
        <v>189</v>
      </c>
      <c r="K12" s="2245"/>
      <c r="L12" s="2245"/>
      <c r="M12" s="2245"/>
      <c r="N12" s="2246"/>
      <c r="O12" s="731"/>
      <c r="P12" s="737">
        <f>+K19</f>
        <v>2022</v>
      </c>
      <c r="Q12" s="738" t="s">
        <v>51</v>
      </c>
      <c r="R12" s="734"/>
    </row>
    <row r="13" spans="1:19" ht="17.25" customHeight="1">
      <c r="A13" s="546">
        <f>+A12+1</f>
        <v>3</v>
      </c>
      <c r="C13" s="1" t="str">
        <f>"   ROE with additional "&amp;F12&amp;" basis point incentive"</f>
        <v xml:space="preserve">   ROE with additional 0 basis point incentive</v>
      </c>
      <c r="D13" s="727"/>
      <c r="E13" s="727"/>
      <c r="F13" s="739">
        <f>IF((F11+(F12/10000)&gt;0.1245),"ERROR",F11+(F12/10000))</f>
        <v>0.105</v>
      </c>
      <c r="G13" s="740" t="s">
        <v>628</v>
      </c>
      <c r="I13" s="741"/>
      <c r="J13" s="2247"/>
      <c r="K13" s="2248"/>
      <c r="L13" s="2248"/>
      <c r="M13" s="2248"/>
      <c r="N13" s="2249"/>
      <c r="O13" s="731"/>
      <c r="P13" s="742">
        <f>+F11</f>
        <v>0.105</v>
      </c>
      <c r="Q13" s="493" t="str">
        <f>+C11</f>
        <v xml:space="preserve">   ROE w/o incentives  (TCOS, ln 143)</v>
      </c>
      <c r="R13" s="743"/>
      <c r="S13" s="589"/>
    </row>
    <row r="14" spans="1:19" ht="16.5" customHeight="1">
      <c r="A14" s="546">
        <f t="shared" ref="A14:A73" si="0">+A13+1</f>
        <v>4</v>
      </c>
      <c r="C14" s="744" t="str">
        <f>"   Determine R  (cost of long term debt, cost of preferred stock and percent is from TCOS, lns "&amp;'OKT TCOS'!B235&amp;" through "&amp;'OKT TCOS'!B237&amp;")"</f>
        <v xml:space="preserve">   Determine R  (cost of long term debt, cost of preferred stock and percent is from TCOS, lns 141 through 143)</v>
      </c>
      <c r="E14" s="727"/>
      <c r="F14" s="739"/>
      <c r="G14" s="739"/>
      <c r="H14" s="727"/>
      <c r="I14" s="741"/>
      <c r="J14" s="2247"/>
      <c r="K14" s="2248"/>
      <c r="L14" s="2248"/>
      <c r="M14" s="2248"/>
      <c r="N14" s="2249"/>
      <c r="O14" s="731"/>
      <c r="P14" s="745">
        <f>+F12</f>
        <v>0</v>
      </c>
      <c r="Q14" s="738" t="s">
        <v>145</v>
      </c>
      <c r="R14" s="743"/>
      <c r="S14" s="589"/>
    </row>
    <row r="15" spans="1:19" ht="16.5" customHeight="1">
      <c r="A15" s="546">
        <f t="shared" si="0"/>
        <v>5</v>
      </c>
      <c r="C15" s="731"/>
      <c r="D15" s="746" t="s">
        <v>282</v>
      </c>
      <c r="E15" s="746" t="s">
        <v>281</v>
      </c>
      <c r="F15" s="747" t="s">
        <v>367</v>
      </c>
      <c r="G15" s="747"/>
      <c r="H15" s="727"/>
      <c r="I15" s="741"/>
      <c r="J15" s="748"/>
      <c r="K15" s="749"/>
      <c r="L15" s="749"/>
      <c r="M15" s="749"/>
      <c r="N15" s="750"/>
      <c r="O15" s="731"/>
      <c r="P15" s="751">
        <f>+D16</f>
        <v>0.44076939576571023</v>
      </c>
      <c r="Q15" s="752" t="s">
        <v>437</v>
      </c>
      <c r="R15" s="743"/>
      <c r="S15" s="589"/>
    </row>
    <row r="16" spans="1:19">
      <c r="A16" s="546">
        <f t="shared" si="0"/>
        <v>6</v>
      </c>
      <c r="C16" s="753" t="s">
        <v>370</v>
      </c>
      <c r="D16" s="754">
        <f>'OKT TCOS'!G235</f>
        <v>0.44076939576571023</v>
      </c>
      <c r="E16" s="755">
        <f>+'OKT TCOS'!J235</f>
        <v>4.1180692103914777E-2</v>
      </c>
      <c r="F16" s="756">
        <f>E16*D16</f>
        <v>1.815118877585627E-2</v>
      </c>
      <c r="G16" s="757"/>
      <c r="H16" s="727"/>
      <c r="I16" s="741"/>
      <c r="J16" s="758"/>
      <c r="K16" s="759"/>
      <c r="L16" s="759"/>
      <c r="M16" s="759"/>
      <c r="N16" s="760"/>
      <c r="O16" s="761"/>
      <c r="P16" s="751">
        <f>+E16</f>
        <v>4.1180692103914777E-2</v>
      </c>
      <c r="Q16" s="752" t="s">
        <v>438</v>
      </c>
      <c r="R16" s="743"/>
      <c r="S16" s="589"/>
    </row>
    <row r="17" spans="1:19">
      <c r="A17" s="546">
        <f t="shared" si="0"/>
        <v>7</v>
      </c>
      <c r="C17" s="753" t="s">
        <v>371</v>
      </c>
      <c r="D17" s="754">
        <f>'OKT TCOS'!G236</f>
        <v>0</v>
      </c>
      <c r="E17" s="755">
        <f>+'OKT TCOS'!J236</f>
        <v>0</v>
      </c>
      <c r="F17" s="756">
        <f>E17*D17</f>
        <v>0</v>
      </c>
      <c r="G17" s="757"/>
      <c r="H17" s="762"/>
      <c r="I17" s="762"/>
      <c r="J17" s="763"/>
      <c r="K17" s="764"/>
      <c r="L17" s="731" t="s">
        <v>368</v>
      </c>
      <c r="M17" s="731" t="s">
        <v>429</v>
      </c>
      <c r="N17" s="765" t="s">
        <v>369</v>
      </c>
      <c r="O17" s="766"/>
      <c r="P17" s="751">
        <f>+D17</f>
        <v>0</v>
      </c>
      <c r="Q17" s="752" t="s">
        <v>439</v>
      </c>
      <c r="R17" s="743"/>
      <c r="S17" s="589"/>
    </row>
    <row r="18" spans="1:19">
      <c r="A18" s="546">
        <f t="shared" si="0"/>
        <v>8</v>
      </c>
      <c r="C18" s="753" t="s">
        <v>363</v>
      </c>
      <c r="D18" s="754">
        <f>'OKT TCOS'!G237</f>
        <v>0.55923060423428972</v>
      </c>
      <c r="E18" s="755">
        <f>+F13</f>
        <v>0.105</v>
      </c>
      <c r="F18" s="767">
        <f>E18*D18</f>
        <v>5.8719213444600418E-2</v>
      </c>
      <c r="G18" s="768"/>
      <c r="H18" s="762"/>
      <c r="I18" s="762"/>
      <c r="J18" s="769"/>
      <c r="K18" s="589"/>
      <c r="L18" s="589"/>
      <c r="M18" s="589"/>
      <c r="N18" s="738"/>
      <c r="O18" s="766"/>
      <c r="P18" s="751">
        <f>+E17</f>
        <v>0</v>
      </c>
      <c r="Q18" s="752" t="s">
        <v>440</v>
      </c>
      <c r="R18" s="743"/>
      <c r="S18" s="589"/>
    </row>
    <row r="19" spans="1:19" ht="13.5" thickBot="1">
      <c r="A19" s="546">
        <f t="shared" si="0"/>
        <v>9</v>
      </c>
      <c r="C19" s="1"/>
      <c r="D19" s="727"/>
      <c r="E19" s="770" t="s">
        <v>372</v>
      </c>
      <c r="F19" s="756">
        <f>SUM(F16:F18)</f>
        <v>7.6870402220456685E-2</v>
      </c>
      <c r="G19" s="757"/>
      <c r="H19" s="771"/>
      <c r="I19" s="762"/>
      <c r="J19" s="772" t="s">
        <v>425</v>
      </c>
      <c r="K19" s="773">
        <f>+'OKT TCOS'!$N$2</f>
        <v>2022</v>
      </c>
      <c r="L19" s="774">
        <f>+P44</f>
        <v>0</v>
      </c>
      <c r="M19" s="774">
        <f>+P45</f>
        <v>0</v>
      </c>
      <c r="N19" s="775">
        <f>+P46</f>
        <v>0</v>
      </c>
      <c r="O19" s="766"/>
      <c r="P19" s="751">
        <f>+D18</f>
        <v>0.55923060423428972</v>
      </c>
      <c r="Q19" s="776" t="s">
        <v>441</v>
      </c>
      <c r="R19" s="743"/>
      <c r="S19" s="589"/>
    </row>
    <row r="20" spans="1:19">
      <c r="A20" s="546"/>
      <c r="D20" s="777"/>
      <c r="E20" s="777"/>
      <c r="F20" s="762"/>
      <c r="G20" s="762"/>
      <c r="H20" s="762"/>
      <c r="I20" s="762"/>
      <c r="J20" s="778"/>
      <c r="K20" s="778"/>
      <c r="L20" s="778"/>
      <c r="M20" s="778"/>
      <c r="N20" s="778"/>
      <c r="O20" s="779"/>
      <c r="P20" s="780">
        <f>+E23</f>
        <v>1107972722.1340902</v>
      </c>
      <c r="Q20" s="781" t="str">
        <f>+C23</f>
        <v xml:space="preserve">   Rate Base  (TCOS, ln 63)</v>
      </c>
      <c r="R20" s="734"/>
      <c r="S20" s="589"/>
    </row>
    <row r="21" spans="1:19" ht="15.75">
      <c r="A21" s="546"/>
      <c r="C21" s="725" t="str">
        <f>"B.   Determine Return using 'R' with hypothetical "&amp;F12&amp;" basis point ROE increase for Identified Projects."</f>
        <v>B.   Determine Return using 'R' with hypothetical 0 basis point ROE increase for Identified Projects.</v>
      </c>
      <c r="D21" s="777"/>
      <c r="E21" s="777"/>
      <c r="F21" s="762"/>
      <c r="G21" s="762"/>
      <c r="H21" s="762"/>
      <c r="I21" s="727"/>
      <c r="J21" s="782"/>
      <c r="K21" s="778"/>
      <c r="L21" s="778"/>
      <c r="M21" s="778"/>
      <c r="N21" s="778"/>
      <c r="O21" s="779"/>
      <c r="P21" s="783">
        <f>+F30</f>
        <v>0.24025699999999994</v>
      </c>
      <c r="Q21" s="738" t="str">
        <f>+C30</f>
        <v xml:space="preserve">   Tax Rate  (TCOS, ln 99)</v>
      </c>
      <c r="R21" s="743"/>
      <c r="S21" s="589"/>
    </row>
    <row r="22" spans="1:19">
      <c r="A22" s="546"/>
      <c r="C22" s="731"/>
      <c r="D22" s="777"/>
      <c r="E22" s="777"/>
      <c r="F22" s="779"/>
      <c r="G22" s="779"/>
      <c r="H22" s="779"/>
      <c r="I22" s="779"/>
      <c r="J22" s="778"/>
      <c r="K22" s="778"/>
      <c r="L22" s="778"/>
      <c r="M22" s="778"/>
      <c r="N22" s="778"/>
      <c r="O22" s="779"/>
      <c r="P22" s="784">
        <f>+F33</f>
        <v>0</v>
      </c>
      <c r="Q22" s="738" t="str">
        <f>+C33</f>
        <v xml:space="preserve">   ITC Adjustment  (TCOS, ln 108)</v>
      </c>
      <c r="R22" s="743"/>
      <c r="S22" s="589"/>
    </row>
    <row r="23" spans="1:19">
      <c r="A23" s="546">
        <f>+A19+1</f>
        <v>10</v>
      </c>
      <c r="C23" s="1" t="str">
        <f>"   Rate Base  (TCOS, ln "&amp;'OKT TCOS'!B113&amp;")"</f>
        <v xml:space="preserve">   Rate Base  (TCOS, ln 63)</v>
      </c>
      <c r="D23" s="727"/>
      <c r="E23" s="785">
        <f>+'OKT TCOS'!L113</f>
        <v>1107972722.1340902</v>
      </c>
      <c r="F23" s="786"/>
      <c r="G23" s="786"/>
      <c r="H23" s="779"/>
      <c r="I23" s="779"/>
      <c r="J23" s="778"/>
      <c r="K23" s="778"/>
      <c r="L23" s="778"/>
      <c r="M23" s="778"/>
      <c r="N23" s="778"/>
      <c r="O23" s="779"/>
      <c r="P23" s="784">
        <f>+F34</f>
        <v>1160978.464550423</v>
      </c>
      <c r="Q23" s="738" t="str">
        <f>+C34</f>
        <v xml:space="preserve">   Excess DFIT Adjustment  (TCOS, ln 109)</v>
      </c>
      <c r="R23" s="743"/>
      <c r="S23" s="589"/>
    </row>
    <row r="24" spans="1:19">
      <c r="A24" s="546">
        <f t="shared" si="0"/>
        <v>11</v>
      </c>
      <c r="C24" s="731" t="s">
        <v>341</v>
      </c>
      <c r="D24" s="729"/>
      <c r="E24" s="787">
        <f>F19</f>
        <v>7.6870402220456685E-2</v>
      </c>
      <c r="F24" s="779"/>
      <c r="G24" s="779"/>
      <c r="H24" s="779"/>
      <c r="I24" s="779"/>
      <c r="J24" s="778"/>
      <c r="K24" s="778"/>
      <c r="L24" s="778"/>
      <c r="M24" s="778"/>
      <c r="N24" s="778"/>
      <c r="O24" s="779"/>
      <c r="P24" s="784">
        <f>+F35</f>
        <v>152479.08832328828</v>
      </c>
      <c r="Q24" s="738" t="str">
        <f>+C35</f>
        <v xml:space="preserve">   Tax Effect of Permanent and Flow Through Differences  (TCOS, ln 110)</v>
      </c>
      <c r="R24" s="743"/>
      <c r="S24" s="589"/>
    </row>
    <row r="25" spans="1:19" ht="15">
      <c r="A25" s="546">
        <f t="shared" si="0"/>
        <v>12</v>
      </c>
      <c r="C25" s="788" t="s">
        <v>373</v>
      </c>
      <c r="D25" s="788"/>
      <c r="E25" s="789">
        <f>E23*E24</f>
        <v>85170308.799741805</v>
      </c>
      <c r="F25" s="779"/>
      <c r="G25" s="779"/>
      <c r="H25" s="779"/>
      <c r="I25" s="779"/>
      <c r="J25" s="350"/>
      <c r="K25" s="350"/>
      <c r="L25" s="350"/>
      <c r="M25" s="350"/>
      <c r="N25" s="286"/>
      <c r="O25" s="766"/>
      <c r="P25" s="784">
        <f>+F42</f>
        <v>180543014.47101551</v>
      </c>
      <c r="Q25" s="738" t="str">
        <f>+C42</f>
        <v xml:space="preserve">   Net Revenue Requirement  (TCOS, ln 117)</v>
      </c>
      <c r="R25" s="743"/>
      <c r="S25" s="589"/>
    </row>
    <row r="26" spans="1:19" ht="20.25">
      <c r="A26" s="546"/>
      <c r="C26" s="788"/>
      <c r="D26" s="741"/>
      <c r="E26" s="741"/>
      <c r="F26" s="779"/>
      <c r="G26" s="779"/>
      <c r="H26" s="779"/>
      <c r="I26" s="779"/>
      <c r="J26" s="790" t="s">
        <v>125</v>
      </c>
      <c r="K26" s="791" t="s">
        <v>435</v>
      </c>
      <c r="L26" s="792"/>
      <c r="M26" s="792"/>
      <c r="N26" s="793"/>
      <c r="O26" s="766"/>
      <c r="P26" s="784">
        <f>+F43</f>
        <v>85170308.799741805</v>
      </c>
      <c r="Q26" s="738" t="str">
        <f>+C43</f>
        <v xml:space="preserve">   Return  (TCOS, ln 112)</v>
      </c>
      <c r="R26" s="743"/>
      <c r="S26" s="589"/>
    </row>
    <row r="27" spans="1:19" ht="18">
      <c r="A27" s="546"/>
      <c r="C27" s="725" t="str">
        <f>"C.   Determine Income Taxes using Return with hypothetical "&amp;F12&amp;" basis point ROE increase for Identified Projects."</f>
        <v>C.   Determine Income Taxes using Return with hypothetical 0 basis point ROE increase for Identified Projects.</v>
      </c>
      <c r="D27" s="794"/>
      <c r="E27" s="794"/>
      <c r="F27" s="795"/>
      <c r="G27" s="795"/>
      <c r="H27" s="795"/>
      <c r="I27" s="795"/>
      <c r="J27" s="766"/>
      <c r="K27" s="796" t="s">
        <v>424</v>
      </c>
      <c r="L27" s="797"/>
      <c r="M27" s="797"/>
      <c r="N27" s="793"/>
      <c r="O27" s="798"/>
      <c r="P27" s="784">
        <f>+F44</f>
        <v>21887453.048095852</v>
      </c>
      <c r="Q27" s="738" t="str">
        <f>+C44</f>
        <v xml:space="preserve">   Income Taxes  (TCOS, ln 111)</v>
      </c>
      <c r="R27" s="743"/>
      <c r="S27" s="589"/>
    </row>
    <row r="28" spans="1:19" ht="14.25" customHeight="1">
      <c r="A28" s="546"/>
      <c r="C28" s="1"/>
      <c r="D28" s="741"/>
      <c r="E28" s="741"/>
      <c r="F28" s="779"/>
      <c r="G28" s="779"/>
      <c r="H28" s="779"/>
      <c r="I28" s="779"/>
      <c r="O28" s="766"/>
      <c r="P28" s="784">
        <f>+F45</f>
        <v>0</v>
      </c>
      <c r="Q28" s="738" t="str">
        <f>C45</f>
        <v xml:space="preserve">  Gross Margin Taxes  (TCOS, ln 116)</v>
      </c>
      <c r="R28" s="743"/>
      <c r="S28" s="734"/>
    </row>
    <row r="29" spans="1:19" ht="19.5" customHeight="1">
      <c r="A29" s="546">
        <f>+A25+1</f>
        <v>13</v>
      </c>
      <c r="C29" s="731" t="s">
        <v>374</v>
      </c>
      <c r="D29" s="770"/>
      <c r="F29" s="799">
        <f>E25</f>
        <v>85170308.799741805</v>
      </c>
      <c r="G29" s="779"/>
      <c r="H29" s="779"/>
      <c r="I29" s="779"/>
      <c r="O29" s="779"/>
      <c r="P29" s="784">
        <f>+F55</f>
        <v>42688077.29538855</v>
      </c>
      <c r="Q29" s="738" t="str">
        <f>+C55</f>
        <v xml:space="preserve">   Less: Depreciation  (TCOS, ln 86)</v>
      </c>
      <c r="R29" s="743"/>
      <c r="S29" s="589"/>
    </row>
    <row r="30" spans="1:19">
      <c r="A30" s="546">
        <f t="shared" si="0"/>
        <v>14</v>
      </c>
      <c r="C30" s="1" t="str">
        <f>"   Tax Rate  (TCOS, ln "&amp;'OKT TCOS'!B168&amp;")"</f>
        <v xml:space="preserve">   Tax Rate  (TCOS, ln 99)</v>
      </c>
      <c r="D30" s="770"/>
      <c r="F30" s="800">
        <f>+'OKT TCOS'!G168</f>
        <v>0.24025699999999994</v>
      </c>
      <c r="G30" s="779"/>
      <c r="H30" s="779"/>
      <c r="I30" s="779"/>
      <c r="O30" s="779"/>
      <c r="P30" s="783">
        <f>+F61</f>
        <v>0</v>
      </c>
      <c r="Q30" s="738" t="str">
        <f>+C61</f>
        <v xml:space="preserve">       Apportionment Factor to Texas (Worksheet K, ln 12)</v>
      </c>
      <c r="R30" s="743"/>
      <c r="S30" s="589"/>
    </row>
    <row r="31" spans="1:19">
      <c r="A31" s="546">
        <f t="shared" si="0"/>
        <v>15</v>
      </c>
      <c r="C31" s="731" t="s">
        <v>196</v>
      </c>
      <c r="F31" s="739">
        <f>IF(F16&gt;0,($F30/(1-$F30))*(1-$F16/$F19),0)</f>
        <v>0.24156300223822261</v>
      </c>
      <c r="P31" s="784">
        <f>+F71</f>
        <v>1199092931.7707691</v>
      </c>
      <c r="Q31" s="738" t="str">
        <f>+C71</f>
        <v xml:space="preserve">   Net Transmission Plant  (TCOS, ln 37)</v>
      </c>
      <c r="R31" s="743"/>
      <c r="S31" s="589"/>
    </row>
    <row r="32" spans="1:19">
      <c r="A32" s="546">
        <f t="shared" si="0"/>
        <v>16</v>
      </c>
      <c r="C32" s="788" t="s">
        <v>197</v>
      </c>
      <c r="F32" s="801">
        <f>F29*F31</f>
        <v>20573995.49522214</v>
      </c>
      <c r="P32" s="802">
        <f>+F77</f>
        <v>0.11496601599681577</v>
      </c>
      <c r="Q32" s="803" t="str">
        <f>+C77</f>
        <v xml:space="preserve">   FCR less Depreciation  (TCOS, ln 10)</v>
      </c>
      <c r="R32" s="743"/>
      <c r="S32" s="804"/>
    </row>
    <row r="33" spans="1:19" ht="15">
      <c r="A33" s="546">
        <f t="shared" si="0"/>
        <v>17</v>
      </c>
      <c r="C33" s="1" t="str">
        <f>"   ITC Adjustment  (TCOS, ln "&amp;'OKT TCOS'!B178&amp;")"</f>
        <v xml:space="preserve">   ITC Adjustment  (TCOS, ln 108)</v>
      </c>
      <c r="D33" s="350"/>
      <c r="F33" s="779">
        <f>+'OKT TCOS'!L178</f>
        <v>0</v>
      </c>
      <c r="G33" s="350"/>
      <c r="H33" s="350"/>
      <c r="I33" s="350"/>
      <c r="O33" s="350"/>
      <c r="P33" s="805">
        <f>+F81</f>
        <v>1380374997.5384614</v>
      </c>
      <c r="Q33" s="803" t="str">
        <f>+C81</f>
        <v>Transmission Plant Average Balance for 2022 (WS A-1 Ln 14 Col (d))</v>
      </c>
      <c r="R33" s="743"/>
      <c r="S33" s="734"/>
    </row>
    <row r="34" spans="1:19" ht="15">
      <c r="A34" s="546">
        <f t="shared" si="0"/>
        <v>18</v>
      </c>
      <c r="C34" s="1" t="str">
        <f>"   Excess DFIT Adjustment  (TCOS, ln "&amp;'OKT TCOS'!B179&amp;")"</f>
        <v xml:space="preserve">   Excess DFIT Adjustment  (TCOS, ln 109)</v>
      </c>
      <c r="D34" s="350"/>
      <c r="F34" s="779">
        <f>+'OKT TCOS'!L179</f>
        <v>1160978.464550423</v>
      </c>
      <c r="G34" s="350"/>
      <c r="H34" s="350"/>
      <c r="I34" s="350"/>
      <c r="O34" s="350"/>
      <c r="P34" s="716">
        <f>+F82</f>
        <v>42688107</v>
      </c>
      <c r="Q34" s="806" t="str">
        <f>+C82</f>
        <v>Annual Depreciation Expense  (TCOS, ln 86)</v>
      </c>
      <c r="R34" s="743"/>
      <c r="S34" s="734"/>
    </row>
    <row r="35" spans="1:19" ht="15">
      <c r="A35" s="546">
        <f t="shared" si="0"/>
        <v>19</v>
      </c>
      <c r="C35" s="1" t="str">
        <f>"   Tax Effect of Permanent and Flow Through Differences  (TCOS, ln "&amp;'OKT TCOS'!B180&amp;")"</f>
        <v xml:space="preserve">   Tax Effect of Permanent and Flow Through Differences  (TCOS, ln 110)</v>
      </c>
      <c r="D35" s="350"/>
      <c r="F35" s="779">
        <f>+'OKT TCOS'!L180</f>
        <v>152479.08832328828</v>
      </c>
      <c r="G35" s="350"/>
      <c r="H35" s="350"/>
      <c r="I35" s="350"/>
      <c r="O35" s="350"/>
      <c r="P35" s="493"/>
      <c r="R35" s="743"/>
      <c r="S35" s="734"/>
    </row>
    <row r="36" spans="1:19" ht="15">
      <c r="A36" s="546">
        <f t="shared" si="0"/>
        <v>20</v>
      </c>
      <c r="C36" s="788" t="s">
        <v>375</v>
      </c>
      <c r="D36" s="350"/>
      <c r="F36" s="807">
        <f>+SUM(F32:F35)</f>
        <v>21887453.048095852</v>
      </c>
      <c r="G36" s="350"/>
      <c r="H36" s="350"/>
      <c r="I36" s="350"/>
      <c r="O36" s="350"/>
      <c r="P36" s="493"/>
    </row>
    <row r="37" spans="1:19" ht="12.75" customHeight="1">
      <c r="A37" s="546"/>
      <c r="C37" s="314"/>
      <c r="D37" s="350"/>
      <c r="E37" s="350"/>
      <c r="F37" s="350"/>
      <c r="G37" s="350"/>
      <c r="H37" s="350"/>
      <c r="I37" s="350"/>
      <c r="O37" s="350"/>
      <c r="P37" s="572" t="s">
        <v>164</v>
      </c>
      <c r="Q37" s="720" t="s">
        <v>433</v>
      </c>
    </row>
    <row r="38" spans="1:19" ht="18.75">
      <c r="A38" s="546"/>
      <c r="B38" s="723" t="s">
        <v>308</v>
      </c>
      <c r="C38" s="721" t="str">
        <f>"Calculate Net Plant Carrying Charge Rate (Fixed Charge Rate or FCR) with hypothetical "&amp;F12&amp;" basis point"</f>
        <v>Calculate Net Plant Carrying Charge Rate (Fixed Charge Rate or FCR) with hypothetical 0 basis point</v>
      </c>
      <c r="D38" s="350"/>
      <c r="E38" s="350"/>
      <c r="F38" s="350"/>
      <c r="G38" s="350"/>
      <c r="H38" s="350"/>
      <c r="I38" s="350"/>
      <c r="O38" s="350"/>
      <c r="P38" s="493"/>
    </row>
    <row r="39" spans="1:19" ht="18.75" customHeight="1">
      <c r="A39" s="546"/>
      <c r="B39" s="723"/>
      <c r="C39" s="721" t="str">
        <f>"ROE increase."</f>
        <v>ROE increase.</v>
      </c>
      <c r="D39" s="350"/>
      <c r="E39" s="350"/>
      <c r="F39" s="350"/>
      <c r="G39" s="350"/>
      <c r="H39" s="350"/>
      <c r="I39" s="350"/>
      <c r="O39" s="350"/>
      <c r="P39" s="493"/>
    </row>
    <row r="40" spans="1:19" ht="12.75" customHeight="1">
      <c r="A40" s="546"/>
      <c r="C40" s="314"/>
      <c r="D40" s="350"/>
      <c r="E40" s="350"/>
      <c r="F40" s="350"/>
      <c r="G40" s="350"/>
      <c r="H40" s="350"/>
      <c r="I40" s="350"/>
      <c r="O40" s="350"/>
      <c r="P40" s="720" t="s">
        <v>165</v>
      </c>
      <c r="Q40" s="720" t="s">
        <v>433</v>
      </c>
    </row>
    <row r="41" spans="1:19" ht="15.75">
      <c r="A41" s="546"/>
      <c r="C41" s="725" t="s">
        <v>146</v>
      </c>
      <c r="D41" s="350"/>
      <c r="E41" s="350"/>
      <c r="F41" s="83"/>
      <c r="G41" s="83"/>
      <c r="H41" s="350"/>
      <c r="I41" s="350"/>
      <c r="O41" s="350"/>
      <c r="P41" s="720"/>
      <c r="Q41" s="572"/>
    </row>
    <row r="42" spans="1:19" ht="12.75" customHeight="1">
      <c r="A42" s="546">
        <f>+A36+1</f>
        <v>21</v>
      </c>
      <c r="C42" s="1" t="str">
        <f>"   Net Revenue Requirement  (TCOS, ln "&amp;'OKT TCOS'!B193&amp;")"</f>
        <v xml:space="preserve">   Net Revenue Requirement  (TCOS, ln 117)</v>
      </c>
      <c r="D42" s="808"/>
      <c r="E42" s="808"/>
      <c r="F42" s="779">
        <f>+'OKT TCOS'!L193</f>
        <v>180543014.47101551</v>
      </c>
      <c r="G42" s="779"/>
      <c r="H42" s="808"/>
      <c r="I42" s="808"/>
      <c r="J42" s="808"/>
      <c r="K42" s="808"/>
      <c r="L42" s="808"/>
      <c r="M42" s="808"/>
      <c r="N42" s="779"/>
      <c r="O42" s="808"/>
      <c r="P42" s="809" t="s">
        <v>161</v>
      </c>
      <c r="Q42" s="810" t="s">
        <v>162</v>
      </c>
    </row>
    <row r="43" spans="1:19" ht="13.5" thickBot="1">
      <c r="A43" s="546">
        <f t="shared" si="0"/>
        <v>22</v>
      </c>
      <c r="C43" s="1" t="str">
        <f>"   Return  (TCOS, ln "&amp;'OKT TCOS'!B184&amp;")"</f>
        <v xml:space="preserve">   Return  (TCOS, ln 112)</v>
      </c>
      <c r="D43" s="808"/>
      <c r="E43" s="808"/>
      <c r="F43" s="766">
        <f>+'OKT TCOS'!L184</f>
        <v>85170308.799741805</v>
      </c>
      <c r="G43" s="766"/>
      <c r="H43" s="811"/>
      <c r="I43" s="811"/>
      <c r="J43" s="811"/>
      <c r="K43" s="811"/>
      <c r="L43" s="811"/>
      <c r="M43" s="811"/>
      <c r="N43" s="779"/>
      <c r="O43" s="811"/>
      <c r="P43" s="812" t="s">
        <v>69</v>
      </c>
      <c r="Q43" s="813"/>
    </row>
    <row r="44" spans="1:19">
      <c r="A44" s="546">
        <f t="shared" si="0"/>
        <v>23</v>
      </c>
      <c r="C44" s="1" t="str">
        <f>"   Income Taxes  (TCOS, ln "&amp;'OKT TCOS'!B182&amp;")"</f>
        <v xml:space="preserve">   Income Taxes  (TCOS, ln 111)</v>
      </c>
      <c r="D44" s="808"/>
      <c r="E44" s="808"/>
      <c r="F44" s="779">
        <f>+'OKT TCOS'!L182</f>
        <v>21887453.048095852</v>
      </c>
      <c r="G44" s="779"/>
      <c r="H44" s="808"/>
      <c r="I44" s="808"/>
      <c r="J44" s="814"/>
      <c r="K44" s="814"/>
      <c r="L44" s="814"/>
      <c r="M44" s="814"/>
      <c r="N44" s="808"/>
      <c r="O44" s="814"/>
      <c r="P44" s="815"/>
      <c r="Q44" s="813" t="s">
        <v>158</v>
      </c>
    </row>
    <row r="45" spans="1:19">
      <c r="A45" s="546">
        <f t="shared" si="0"/>
        <v>24</v>
      </c>
      <c r="C45" s="1" t="str">
        <f>"  Gross Margin Taxes  (TCOS, ln "&amp;'OKT TCOS'!B191&amp;")"</f>
        <v xml:space="preserve">  Gross Margin Taxes  (TCOS, ln 116)</v>
      </c>
      <c r="D45" s="808"/>
      <c r="E45" s="808"/>
      <c r="F45" s="816">
        <f>+'OKT TCOS'!L191</f>
        <v>0</v>
      </c>
      <c r="G45" s="779"/>
      <c r="H45" s="808"/>
      <c r="I45" s="808"/>
      <c r="J45" s="814"/>
      <c r="K45" s="814"/>
      <c r="L45" s="814"/>
      <c r="M45" s="814"/>
      <c r="N45" s="808"/>
      <c r="O45" s="814"/>
      <c r="P45" s="817"/>
      <c r="Q45" s="813" t="s">
        <v>159</v>
      </c>
    </row>
    <row r="46" spans="1:19" ht="13.5" thickBot="1">
      <c r="A46" s="546">
        <f t="shared" si="0"/>
        <v>25</v>
      </c>
      <c r="C46" s="589" t="s">
        <v>23</v>
      </c>
      <c r="D46" s="808"/>
      <c r="E46" s="808"/>
      <c r="F46" s="766">
        <f>F42-F43-F44-F45</f>
        <v>73485252.623177856</v>
      </c>
      <c r="G46" s="766"/>
      <c r="H46" s="764"/>
      <c r="I46" s="808"/>
      <c r="J46" s="764"/>
      <c r="K46" s="764"/>
      <c r="L46" s="764"/>
      <c r="M46" s="764"/>
      <c r="N46" s="764"/>
      <c r="O46" s="764"/>
      <c r="P46" s="818"/>
      <c r="Q46" s="813" t="s">
        <v>160</v>
      </c>
    </row>
    <row r="47" spans="1:19" s="589" customFormat="1">
      <c r="A47" s="546"/>
      <c r="B47" s="493"/>
      <c r="C47" s="1"/>
      <c r="D47" s="808"/>
      <c r="E47" s="808"/>
      <c r="F47" s="779"/>
      <c r="G47" s="779"/>
      <c r="H47" s="819"/>
      <c r="I47" s="820"/>
      <c r="J47" s="820"/>
      <c r="K47" s="820"/>
      <c r="L47" s="820"/>
      <c r="M47" s="820"/>
      <c r="N47" s="820"/>
      <c r="O47" s="820"/>
      <c r="Q47" s="493"/>
      <c r="R47" s="493"/>
      <c r="S47" s="493"/>
    </row>
    <row r="48" spans="1:19" s="589" customFormat="1" ht="15.75">
      <c r="A48" s="546"/>
      <c r="B48" s="493"/>
      <c r="C48" s="725" t="str">
        <f>"B.   Determine Net Revenue Requirement with hypothetical "&amp;F12&amp;" basis point increase in ROE."</f>
        <v>B.   Determine Net Revenue Requirement with hypothetical 0 basis point increase in ROE.</v>
      </c>
      <c r="D48" s="731"/>
      <c r="E48" s="731"/>
      <c r="F48" s="779"/>
      <c r="G48" s="779"/>
      <c r="H48" s="819"/>
      <c r="I48" s="820"/>
      <c r="J48" s="820"/>
      <c r="K48" s="820"/>
      <c r="L48" s="820"/>
      <c r="M48" s="820"/>
      <c r="N48" s="820"/>
      <c r="O48" s="820"/>
      <c r="R48" s="493"/>
      <c r="S48" s="493"/>
    </row>
    <row r="49" spans="1:19" s="589" customFormat="1">
      <c r="A49" s="546">
        <f>+A46+1</f>
        <v>26</v>
      </c>
      <c r="B49" s="493"/>
      <c r="C49" s="1" t="str">
        <f>C46</f>
        <v xml:space="preserve">   Net Revenue Requirement, Less Return and Taxes</v>
      </c>
      <c r="D49" s="731"/>
      <c r="E49" s="731"/>
      <c r="F49" s="779">
        <f>F46</f>
        <v>73485252.623177856</v>
      </c>
      <c r="G49" s="779"/>
      <c r="H49" s="808"/>
      <c r="I49" s="808"/>
      <c r="J49" s="808"/>
      <c r="K49" s="808"/>
      <c r="L49" s="808"/>
      <c r="M49" s="808"/>
      <c r="N49" s="821"/>
      <c r="O49" s="808"/>
      <c r="R49" s="493"/>
      <c r="S49" s="493"/>
    </row>
    <row r="50" spans="1:19" s="589" customFormat="1">
      <c r="A50" s="546">
        <f t="shared" si="0"/>
        <v>27</v>
      </c>
      <c r="B50" s="493"/>
      <c r="C50" s="731" t="s">
        <v>383</v>
      </c>
      <c r="D50" s="822"/>
      <c r="F50" s="823">
        <f>E25</f>
        <v>85170308.799741805</v>
      </c>
      <c r="G50" s="823"/>
      <c r="I50" s="590"/>
      <c r="Q50" s="493"/>
      <c r="R50" s="493"/>
      <c r="S50" s="493"/>
    </row>
    <row r="51" spans="1:19" s="589" customFormat="1" ht="12.75" customHeight="1">
      <c r="A51" s="546">
        <f t="shared" si="0"/>
        <v>28</v>
      </c>
      <c r="B51" s="493"/>
      <c r="C51" s="1" t="s">
        <v>376</v>
      </c>
      <c r="D51" s="808"/>
      <c r="E51" s="808"/>
      <c r="F51" s="824">
        <f>F36</f>
        <v>21887453.048095852</v>
      </c>
      <c r="G51" s="825"/>
      <c r="H51" s="493"/>
      <c r="I51" s="549"/>
      <c r="J51" s="493"/>
      <c r="K51" s="493"/>
      <c r="L51" s="493"/>
      <c r="M51" s="493"/>
      <c r="N51" s="493"/>
      <c r="Q51" s="493"/>
      <c r="R51" s="493"/>
      <c r="S51" s="493"/>
    </row>
    <row r="52" spans="1:19" s="589" customFormat="1">
      <c r="A52" s="546">
        <f t="shared" si="0"/>
        <v>29</v>
      </c>
      <c r="B52" s="493"/>
      <c r="C52" s="589" t="str">
        <f>"   Net Revenue Requirement, with "&amp;F12&amp;" Basis Point ROE increase"</f>
        <v xml:space="preserve">   Net Revenue Requirement, with 0 Basis Point ROE increase</v>
      </c>
      <c r="D52" s="546"/>
      <c r="E52" s="493"/>
      <c r="F52" s="801">
        <f>SUM(F49:F51)</f>
        <v>180543014.47101551</v>
      </c>
      <c r="G52" s="801"/>
      <c r="H52" s="493"/>
      <c r="I52" s="549"/>
      <c r="J52" s="493"/>
      <c r="K52" s="493"/>
      <c r="L52" s="493"/>
      <c r="M52" s="493"/>
      <c r="N52" s="493"/>
      <c r="Q52" s="493"/>
      <c r="R52" s="493"/>
      <c r="S52" s="493"/>
    </row>
    <row r="53" spans="1:19" s="589" customFormat="1">
      <c r="A53" s="546">
        <f t="shared" si="0"/>
        <v>30</v>
      </c>
      <c r="B53" s="493"/>
      <c r="C53" s="804" t="str">
        <f>"   Gross Margin Tax with "&amp;F86&amp;" Basis Point ROE Increase (II C. below)"</f>
        <v xml:space="preserve">   Gross Margin Tax with  Basis Point ROE Increase (II C. below)</v>
      </c>
      <c r="D53" s="653"/>
      <c r="E53" s="653"/>
      <c r="F53" s="826">
        <f>+F68</f>
        <v>0</v>
      </c>
      <c r="G53" s="823"/>
      <c r="H53" s="493"/>
      <c r="I53" s="549"/>
      <c r="J53" s="493"/>
      <c r="K53" s="493"/>
      <c r="L53" s="493"/>
      <c r="M53" s="493"/>
      <c r="N53" s="493"/>
      <c r="Q53" s="493"/>
      <c r="R53" s="493"/>
      <c r="S53" s="493"/>
    </row>
    <row r="54" spans="1:19" s="589" customFormat="1">
      <c r="A54" s="546">
        <f t="shared" si="0"/>
        <v>31</v>
      </c>
      <c r="B54" s="493"/>
      <c r="C54" s="589" t="s">
        <v>24</v>
      </c>
      <c r="D54" s="546"/>
      <c r="E54" s="493"/>
      <c r="F54" s="823">
        <f>+F52+F53</f>
        <v>180543014.47101551</v>
      </c>
      <c r="G54" s="823"/>
      <c r="H54" s="493"/>
      <c r="I54" s="549"/>
      <c r="J54" s="493"/>
      <c r="K54" s="493"/>
      <c r="L54" s="493"/>
      <c r="M54" s="493"/>
      <c r="N54" s="493"/>
      <c r="Q54" s="493"/>
      <c r="R54" s="493"/>
      <c r="S54" s="493"/>
    </row>
    <row r="55" spans="1:19" s="589" customFormat="1">
      <c r="A55" s="546">
        <f t="shared" si="0"/>
        <v>32</v>
      </c>
      <c r="B55" s="493"/>
      <c r="C55" s="1" t="str">
        <f>"   Less: Depreciation  (TCOS, ln "&amp;'OKT TCOS'!B153&amp;")"</f>
        <v xml:space="preserve">   Less: Depreciation  (TCOS, ln 86)</v>
      </c>
      <c r="D55" s="546"/>
      <c r="E55" s="493"/>
      <c r="F55" s="827">
        <f>+'OKT TCOS'!L153</f>
        <v>42688077.29538855</v>
      </c>
      <c r="G55" s="827"/>
      <c r="H55" s="493"/>
      <c r="I55" s="549"/>
      <c r="J55" s="493"/>
      <c r="K55" s="493"/>
      <c r="L55" s="493"/>
      <c r="M55" s="493"/>
      <c r="N55" s="493"/>
      <c r="Q55" s="493"/>
      <c r="R55" s="493"/>
      <c r="S55" s="493"/>
    </row>
    <row r="56" spans="1:19" s="589" customFormat="1">
      <c r="A56" s="546">
        <f t="shared" si="0"/>
        <v>33</v>
      </c>
      <c r="B56" s="493"/>
      <c r="C56" s="589" t="str">
        <f>"   Net Rev. Req, w/"&amp;F12&amp;" Basis Point ROE increase, less Depreciation"</f>
        <v xml:space="preserve">   Net Rev. Req, w/0 Basis Point ROE increase, less Depreciation</v>
      </c>
      <c r="D56" s="546"/>
      <c r="E56" s="493"/>
      <c r="F56" s="801">
        <f>F54-F55</f>
        <v>137854937.17562696</v>
      </c>
      <c r="G56" s="801"/>
      <c r="H56" s="493"/>
      <c r="I56" s="549"/>
      <c r="J56" s="493"/>
      <c r="K56" s="493"/>
      <c r="L56" s="493"/>
      <c r="M56" s="493"/>
      <c r="N56" s="493"/>
      <c r="Q56" s="493"/>
      <c r="R56" s="493"/>
      <c r="S56" s="493"/>
    </row>
    <row r="57" spans="1:19" s="589" customFormat="1">
      <c r="A57" s="546"/>
      <c r="B57" s="493"/>
      <c r="C57" s="493"/>
      <c r="D57" s="546"/>
      <c r="E57" s="493"/>
      <c r="F57" s="493"/>
      <c r="G57" s="493"/>
      <c r="H57" s="493"/>
      <c r="I57" s="549"/>
      <c r="J57" s="493"/>
      <c r="K57" s="493"/>
      <c r="L57" s="493"/>
      <c r="M57" s="493"/>
      <c r="N57" s="493"/>
      <c r="Q57" s="493"/>
      <c r="R57" s="493"/>
      <c r="S57" s="493"/>
    </row>
    <row r="58" spans="1:19" s="589" customFormat="1" ht="15.75">
      <c r="A58" s="546"/>
      <c r="B58" s="493"/>
      <c r="C58" s="725" t="str">
        <f>"C.   Determine Gross Margin Tax with hypothetical "&amp;F12&amp;" basis point increase in ROE."</f>
        <v>C.   Determine Gross Margin Tax with hypothetical 0 basis point increase in ROE.</v>
      </c>
      <c r="D58" s="653"/>
      <c r="E58" s="653"/>
      <c r="F58" s="801"/>
      <c r="G58" s="801"/>
      <c r="H58" s="493"/>
      <c r="I58" s="549"/>
      <c r="J58" s="493"/>
      <c r="K58" s="493"/>
      <c r="L58" s="493"/>
      <c r="M58" s="493"/>
      <c r="N58" s="493"/>
      <c r="Q58" s="493"/>
      <c r="R58" s="493"/>
      <c r="S58" s="493"/>
    </row>
    <row r="59" spans="1:19" s="589" customFormat="1">
      <c r="A59" s="546">
        <f>+A56+1</f>
        <v>34</v>
      </c>
      <c r="B59" s="493"/>
      <c r="C59" s="804" t="str">
        <f>"   Net Revenue Requirement before Gross Margin Taxes, with "&amp;F12&amp;" "</f>
        <v xml:space="preserve">   Net Revenue Requirement before Gross Margin Taxes, with 0 </v>
      </c>
      <c r="D59" s="653"/>
      <c r="E59" s="653"/>
      <c r="F59" s="801">
        <f>+F52</f>
        <v>180543014.47101551</v>
      </c>
      <c r="G59" s="801"/>
      <c r="H59" s="493"/>
      <c r="I59" s="549"/>
      <c r="J59" s="493"/>
      <c r="K59" s="493"/>
      <c r="L59" s="493"/>
      <c r="M59" s="493"/>
      <c r="N59" s="493"/>
      <c r="Q59" s="493"/>
      <c r="R59" s="493"/>
      <c r="S59" s="493"/>
    </row>
    <row r="60" spans="1:19" s="589" customFormat="1">
      <c r="A60" s="546">
        <f t="shared" si="0"/>
        <v>35</v>
      </c>
      <c r="B60" s="493"/>
      <c r="C60" s="804" t="s">
        <v>25</v>
      </c>
      <c r="D60" s="653"/>
      <c r="E60" s="653"/>
      <c r="F60" s="801"/>
      <c r="G60" s="801"/>
      <c r="H60" s="493"/>
      <c r="I60" s="549"/>
      <c r="J60" s="493"/>
      <c r="K60" s="493"/>
      <c r="L60" s="493"/>
      <c r="M60" s="493"/>
      <c r="N60" s="493"/>
      <c r="Q60" s="493"/>
      <c r="R60" s="493"/>
      <c r="S60" s="493"/>
    </row>
    <row r="61" spans="1:19" s="589" customFormat="1">
      <c r="A61" s="546">
        <f t="shared" si="0"/>
        <v>36</v>
      </c>
      <c r="B61" s="493"/>
      <c r="C61" s="589" t="str">
        <f>"       Apportionment Factor to Texas (Worksheet K, ln "&amp;'OKT WS K State Taxes'!A53&amp;")"</f>
        <v xml:space="preserve">       Apportionment Factor to Texas (Worksheet K, ln 12)</v>
      </c>
      <c r="D61" s="546"/>
      <c r="E61" s="493"/>
      <c r="F61" s="828">
        <f>+'OKT WS K State Taxes'!E53</f>
        <v>0</v>
      </c>
      <c r="G61" s="800"/>
      <c r="H61" s="493"/>
      <c r="I61" s="549"/>
      <c r="J61" s="493"/>
      <c r="K61" s="493"/>
      <c r="L61" s="493"/>
      <c r="M61" s="493"/>
      <c r="N61" s="493"/>
      <c r="Q61" s="493"/>
      <c r="R61" s="493"/>
      <c r="S61" s="493"/>
    </row>
    <row r="62" spans="1:19" s="549" customFormat="1">
      <c r="A62" s="546">
        <f t="shared" si="0"/>
        <v>37</v>
      </c>
      <c r="B62" s="493"/>
      <c r="C62" s="589" t="s">
        <v>26</v>
      </c>
      <c r="D62" s="546"/>
      <c r="E62" s="493"/>
      <c r="F62" s="801">
        <f>+F61*F59</f>
        <v>0</v>
      </c>
      <c r="G62" s="801"/>
      <c r="H62" s="493"/>
      <c r="J62" s="493"/>
      <c r="K62" s="493"/>
      <c r="L62" s="493"/>
      <c r="M62" s="493"/>
      <c r="N62" s="493"/>
      <c r="O62" s="589"/>
      <c r="P62" s="589"/>
      <c r="Q62" s="493"/>
      <c r="R62" s="493"/>
      <c r="S62" s="493"/>
    </row>
    <row r="63" spans="1:19" s="549" customFormat="1">
      <c r="A63" s="546">
        <f t="shared" si="0"/>
        <v>38</v>
      </c>
      <c r="B63" s="493"/>
      <c r="C63" s="589" t="s">
        <v>661</v>
      </c>
      <c r="D63" s="546"/>
      <c r="E63" s="493"/>
      <c r="F63" s="829">
        <v>0.22</v>
      </c>
      <c r="G63" s="830"/>
      <c r="H63" s="493"/>
      <c r="J63" s="493"/>
      <c r="K63" s="493"/>
      <c r="L63" s="493"/>
      <c r="M63" s="493"/>
      <c r="N63" s="493"/>
      <c r="O63" s="589"/>
      <c r="P63" s="589"/>
      <c r="Q63" s="493"/>
      <c r="R63" s="493"/>
      <c r="S63" s="493"/>
    </row>
    <row r="64" spans="1:19" s="549" customFormat="1">
      <c r="A64" s="546">
        <f t="shared" si="0"/>
        <v>39</v>
      </c>
      <c r="B64" s="493"/>
      <c r="C64" s="589" t="s">
        <v>27</v>
      </c>
      <c r="D64" s="546"/>
      <c r="E64" s="493"/>
      <c r="F64" s="801">
        <f>+F62*F63</f>
        <v>0</v>
      </c>
      <c r="G64" s="801"/>
      <c r="H64" s="493"/>
      <c r="J64" s="493"/>
      <c r="K64" s="493"/>
      <c r="L64" s="493"/>
      <c r="M64" s="493"/>
      <c r="N64" s="493"/>
      <c r="O64" s="589"/>
      <c r="P64" s="589"/>
      <c r="Q64" s="493"/>
      <c r="R64" s="493"/>
      <c r="S64" s="493"/>
    </row>
    <row r="65" spans="1:19" s="549" customFormat="1">
      <c r="A65" s="546">
        <f t="shared" si="0"/>
        <v>40</v>
      </c>
      <c r="B65" s="493"/>
      <c r="C65" s="589" t="s">
        <v>28</v>
      </c>
      <c r="D65" s="546"/>
      <c r="E65" s="493"/>
      <c r="F65" s="829">
        <v>0.01</v>
      </c>
      <c r="G65" s="830"/>
      <c r="H65" s="493"/>
      <c r="J65" s="493"/>
      <c r="K65" s="493"/>
      <c r="L65" s="493"/>
      <c r="M65" s="493"/>
      <c r="N65" s="493"/>
      <c r="O65" s="589"/>
      <c r="P65" s="589"/>
      <c r="Q65" s="493"/>
      <c r="R65" s="493"/>
      <c r="S65" s="493"/>
    </row>
    <row r="66" spans="1:19" s="549" customFormat="1">
      <c r="A66" s="546">
        <f t="shared" si="0"/>
        <v>41</v>
      </c>
      <c r="B66" s="493"/>
      <c r="C66" s="589" t="s">
        <v>29</v>
      </c>
      <c r="D66" s="546"/>
      <c r="E66" s="493"/>
      <c r="F66" s="801">
        <f>+F64*F65</f>
        <v>0</v>
      </c>
      <c r="G66" s="801"/>
      <c r="H66" s="493"/>
      <c r="J66" s="493"/>
      <c r="K66" s="493"/>
      <c r="L66" s="493"/>
      <c r="M66" s="493"/>
      <c r="N66" s="493"/>
      <c r="O66" s="589"/>
      <c r="P66" s="589"/>
      <c r="Q66" s="493"/>
      <c r="R66" s="493"/>
      <c r="S66" s="493"/>
    </row>
    <row r="67" spans="1:19" s="549" customFormat="1">
      <c r="A67" s="546">
        <f t="shared" si="0"/>
        <v>42</v>
      </c>
      <c r="B67" s="493"/>
      <c r="C67" s="589" t="s">
        <v>30</v>
      </c>
      <c r="D67" s="546"/>
      <c r="E67" s="493"/>
      <c r="F67" s="831">
        <f>+ROUND((F66*F63*F61)/(1-F65)*F65,0)</f>
        <v>0</v>
      </c>
      <c r="G67" s="675"/>
      <c r="H67" s="493"/>
      <c r="J67" s="493"/>
      <c r="K67" s="493"/>
      <c r="L67" s="493"/>
      <c r="M67" s="493"/>
      <c r="N67" s="493"/>
      <c r="O67" s="589"/>
      <c r="P67" s="589"/>
      <c r="Q67" s="493"/>
      <c r="R67" s="493"/>
      <c r="S67" s="493"/>
    </row>
    <row r="68" spans="1:19" s="549" customFormat="1">
      <c r="A68" s="546">
        <f t="shared" si="0"/>
        <v>43</v>
      </c>
      <c r="B68" s="493"/>
      <c r="C68" s="589" t="s">
        <v>31</v>
      </c>
      <c r="D68" s="546"/>
      <c r="E68" s="493"/>
      <c r="F68" s="801">
        <f>+F66+F67</f>
        <v>0</v>
      </c>
      <c r="G68" s="801"/>
      <c r="H68" s="493"/>
      <c r="J68" s="493"/>
      <c r="K68" s="493"/>
      <c r="L68" s="493"/>
      <c r="M68" s="493"/>
      <c r="N68" s="493"/>
      <c r="O68" s="589"/>
      <c r="P68" s="589"/>
      <c r="Q68" s="493"/>
      <c r="R68" s="493"/>
      <c r="S68" s="493"/>
    </row>
    <row r="69" spans="1:19" s="549" customFormat="1">
      <c r="A69" s="546"/>
      <c r="B69" s="493"/>
      <c r="C69" s="493"/>
      <c r="D69" s="546"/>
      <c r="E69" s="493"/>
      <c r="F69" s="493"/>
      <c r="G69" s="493"/>
      <c r="H69" s="493"/>
      <c r="J69" s="493"/>
      <c r="K69" s="493"/>
      <c r="L69" s="493"/>
      <c r="M69" s="493"/>
      <c r="N69" s="493"/>
      <c r="O69" s="589"/>
      <c r="P69" s="589"/>
      <c r="Q69" s="493"/>
      <c r="R69" s="493"/>
      <c r="S69" s="493"/>
    </row>
    <row r="70" spans="1:19" s="549" customFormat="1" ht="15.75">
      <c r="A70" s="546"/>
      <c r="B70" s="493"/>
      <c r="C70" s="725" t="str">
        <f>"D.   Determine FCR with hypothetical "&amp;F12&amp;" basis point ROE increase."</f>
        <v>D.   Determine FCR with hypothetical 0 basis point ROE increase.</v>
      </c>
      <c r="D70" s="546"/>
      <c r="E70" s="493"/>
      <c r="F70" s="493"/>
      <c r="G70" s="493"/>
      <c r="H70" s="493"/>
      <c r="J70" s="493"/>
      <c r="K70" s="493"/>
      <c r="L70" s="493"/>
      <c r="M70" s="493"/>
      <c r="N70" s="493"/>
      <c r="O70" s="589"/>
      <c r="P70" s="589"/>
      <c r="Q70" s="493"/>
      <c r="R70" s="493"/>
      <c r="S70" s="493"/>
    </row>
    <row r="71" spans="1:19" s="549" customFormat="1">
      <c r="A71" s="546">
        <f>+A68+1</f>
        <v>44</v>
      </c>
      <c r="B71" s="493"/>
      <c r="C71" s="1" t="str">
        <f>"   Net Transmission Plant  (TCOS, ln "&amp;'OKT TCOS'!B79&amp;")"</f>
        <v xml:space="preserve">   Net Transmission Plant  (TCOS, ln 37)</v>
      </c>
      <c r="D71" s="546"/>
      <c r="E71" s="493"/>
      <c r="F71" s="801">
        <f>+'OKT TCOS'!L79</f>
        <v>1199092931.7707691</v>
      </c>
      <c r="G71" s="801"/>
      <c r="H71" s="493"/>
      <c r="J71" s="493"/>
      <c r="K71" s="493"/>
      <c r="L71" s="493"/>
      <c r="M71" s="493"/>
      <c r="N71" s="493"/>
      <c r="O71" s="589"/>
      <c r="P71" s="589"/>
      <c r="Q71" s="493"/>
      <c r="R71" s="493"/>
      <c r="S71" s="493"/>
    </row>
    <row r="72" spans="1:19" s="549" customFormat="1" ht="15">
      <c r="A72" s="546">
        <f t="shared" si="0"/>
        <v>45</v>
      </c>
      <c r="B72" s="493"/>
      <c r="C72" s="589" t="str">
        <f>"   Net Revenue Requirement, with "&amp;F12&amp;" Basis Point ROE increase"</f>
        <v xml:space="preserve">   Net Revenue Requirement, with 0 Basis Point ROE increase</v>
      </c>
      <c r="D72" s="546"/>
      <c r="E72" s="493"/>
      <c r="F72" s="832">
        <f>+F54</f>
        <v>180543014.47101551</v>
      </c>
      <c r="G72" s="832"/>
      <c r="H72" s="493"/>
      <c r="J72" s="493"/>
      <c r="K72" s="493"/>
      <c r="L72" s="493"/>
      <c r="M72" s="493"/>
      <c r="N72" s="493"/>
      <c r="O72" s="589"/>
      <c r="P72" s="589"/>
      <c r="Q72" s="493"/>
      <c r="R72" s="493"/>
      <c r="S72" s="493"/>
    </row>
    <row r="73" spans="1:19" s="549" customFormat="1">
      <c r="A73" s="546">
        <f t="shared" si="0"/>
        <v>46</v>
      </c>
      <c r="B73" s="493"/>
      <c r="C73" s="589" t="str">
        <f>"   FCR with "&amp;F12&amp;" Basis Point increase in ROE"</f>
        <v xml:space="preserve">   FCR with 0 Basis Point increase in ROE</v>
      </c>
      <c r="D73" s="546"/>
      <c r="E73" s="493"/>
      <c r="F73" s="742">
        <f>IF(F71=0,0,F72/F71)</f>
        <v>0.15056632366633779</v>
      </c>
      <c r="G73" s="742"/>
      <c r="H73" s="493"/>
      <c r="J73" s="493"/>
      <c r="K73" s="493"/>
      <c r="L73" s="493"/>
      <c r="M73" s="493"/>
      <c r="N73" s="493"/>
      <c r="O73" s="589"/>
      <c r="P73" s="589"/>
      <c r="Q73" s="493"/>
      <c r="R73" s="493"/>
      <c r="S73" s="493"/>
    </row>
    <row r="74" spans="1:19" s="549" customFormat="1">
      <c r="A74" s="546"/>
      <c r="B74" s="493"/>
      <c r="C74" s="493"/>
      <c r="D74" s="546"/>
      <c r="E74" s="493"/>
      <c r="F74" s="493"/>
      <c r="G74" s="493"/>
      <c r="H74" s="742"/>
      <c r="J74" s="493"/>
      <c r="K74" s="493"/>
      <c r="L74" s="493"/>
      <c r="M74" s="493"/>
      <c r="N74" s="493"/>
      <c r="O74" s="589"/>
      <c r="P74" s="589"/>
      <c r="Q74" s="493"/>
      <c r="R74" s="493"/>
      <c r="S74" s="493"/>
    </row>
    <row r="75" spans="1:19" s="549" customFormat="1">
      <c r="A75" s="546">
        <f>+A73+1</f>
        <v>47</v>
      </c>
      <c r="B75" s="493"/>
      <c r="C75" s="589" t="str">
        <f>"   Net Rev. Req, w / "&amp;F12&amp;" Basis Point ROE increase, less Dep."</f>
        <v xml:space="preserve">   Net Rev. Req, w / 0 Basis Point ROE increase, less Dep.</v>
      </c>
      <c r="D75" s="546"/>
      <c r="E75" s="493"/>
      <c r="F75" s="801">
        <f>+F56</f>
        <v>137854937.17562696</v>
      </c>
      <c r="G75" s="801"/>
      <c r="H75" s="493"/>
      <c r="J75" s="493"/>
      <c r="K75" s="493"/>
      <c r="L75" s="493"/>
      <c r="M75" s="493"/>
      <c r="N75" s="493"/>
      <c r="O75" s="589"/>
      <c r="P75" s="589"/>
      <c r="Q75" s="493"/>
      <c r="R75" s="493"/>
      <c r="S75" s="493"/>
    </row>
    <row r="76" spans="1:19" s="549" customFormat="1">
      <c r="A76" s="546">
        <f t="shared" ref="A76:A85" si="1">+A75+1</f>
        <v>48</v>
      </c>
      <c r="B76" s="493"/>
      <c r="C76" s="589" t="str">
        <f>"   FCR with "&amp;F12&amp;" Basis Point ROE increase, less Depreciation"</f>
        <v xml:space="preserve">   FCR with 0 Basis Point ROE increase, less Depreciation</v>
      </c>
      <c r="D76" s="546"/>
      <c r="E76" s="493"/>
      <c r="F76" s="742">
        <f>IF(F71=0,0,F75/F71)</f>
        <v>0.11496601599681577</v>
      </c>
      <c r="G76" s="742"/>
      <c r="H76" s="801"/>
      <c r="J76" s="493"/>
      <c r="K76" s="493"/>
      <c r="L76" s="493"/>
      <c r="M76" s="493"/>
      <c r="N76" s="493"/>
      <c r="O76" s="589"/>
      <c r="P76" s="589"/>
      <c r="Q76" s="493"/>
      <c r="R76" s="493"/>
      <c r="S76" s="493"/>
    </row>
    <row r="77" spans="1:19">
      <c r="A77" s="546">
        <f t="shared" si="1"/>
        <v>49</v>
      </c>
      <c r="C77" s="1" t="str">
        <f>"   FCR less Depreciation  (TCOS, ln "&amp;'OKT TCOS'!B30&amp;")"</f>
        <v xml:space="preserve">   FCR less Depreciation  (TCOS, ln 10)</v>
      </c>
      <c r="F77" s="833">
        <f>+'OKT TCOS'!L30</f>
        <v>0.11496601599681577</v>
      </c>
      <c r="G77" s="833"/>
      <c r="H77" s="834"/>
    </row>
    <row r="78" spans="1:19">
      <c r="A78" s="546">
        <f t="shared" si="1"/>
        <v>50</v>
      </c>
      <c r="C78" s="589" t="str">
        <f>"   Incremental FCR with "&amp;F12&amp;" Basis Point ROE increase, less Depreciation"</f>
        <v xml:space="preserve">   Incremental FCR with 0 Basis Point ROE increase, less Depreciation</v>
      </c>
      <c r="F78" s="742">
        <f>F76-F77</f>
        <v>0</v>
      </c>
      <c r="G78" s="742"/>
    </row>
    <row r="79" spans="1:19">
      <c r="A79" s="546"/>
      <c r="C79" s="589"/>
      <c r="F79" s="742"/>
      <c r="G79" s="742"/>
    </row>
    <row r="80" spans="1:19" ht="18.75">
      <c r="A80" s="546"/>
      <c r="B80" s="723" t="s">
        <v>309</v>
      </c>
      <c r="C80" s="721" t="s">
        <v>377</v>
      </c>
      <c r="F80" s="742"/>
      <c r="G80" s="742"/>
    </row>
    <row r="81" spans="1:16">
      <c r="A81" s="546">
        <f>+A78+1</f>
        <v>51</v>
      </c>
      <c r="C81" s="589" t="str">
        <f>"Transmission Plant Average Balance for "&amp;'OKT TCOS'!$N$2&amp;" (WS A-1 Ln "&amp;'OKT WS A-1 - Plant'!A24&amp;" Col "&amp;'OKT WS A-1 - Plant'!E9&amp;")"</f>
        <v>Transmission Plant Average Balance for 2022 (WS A-1 Ln 14 Col (d))</v>
      </c>
      <c r="F81" s="590">
        <f>+'OKT WS A-1 - Plant'!E24</f>
        <v>1380374997.5384614</v>
      </c>
      <c r="G81" s="590"/>
    </row>
    <row r="82" spans="1:16">
      <c r="A82" s="546">
        <f t="shared" si="1"/>
        <v>52</v>
      </c>
      <c r="C82" s="1" t="str">
        <f>"Annual Depreciation Expense  (TCOS, ln "&amp;'OKT TCOS'!B153&amp;")"</f>
        <v>Annual Depreciation Expense  (TCOS, ln 86)</v>
      </c>
      <c r="F82" s="590">
        <f>+'OKT TCOS'!G153</f>
        <v>42688107</v>
      </c>
      <c r="G82" s="590"/>
    </row>
    <row r="83" spans="1:16">
      <c r="A83" s="546">
        <f t="shared" si="1"/>
        <v>53</v>
      </c>
      <c r="C83" s="589" t="s">
        <v>378</v>
      </c>
      <c r="F83" s="742">
        <f>IF(F81=0,0,F82/F81)</f>
        <v>3.0925007390110004E-2</v>
      </c>
      <c r="G83" s="742"/>
      <c r="I83" s="548"/>
    </row>
    <row r="84" spans="1:16">
      <c r="A84" s="546">
        <f t="shared" si="1"/>
        <v>54</v>
      </c>
      <c r="C84" s="589" t="s">
        <v>379</v>
      </c>
      <c r="F84" s="835">
        <f>IF(F83=0,0,1/F83)</f>
        <v>32.336289766572726</v>
      </c>
      <c r="G84" s="835"/>
    </row>
    <row r="85" spans="1:16">
      <c r="A85" s="546">
        <f t="shared" si="1"/>
        <v>55</v>
      </c>
      <c r="C85" s="589" t="s">
        <v>380</v>
      </c>
      <c r="F85" s="585">
        <f>ROUND(F84,0)</f>
        <v>32</v>
      </c>
      <c r="G85" s="585"/>
    </row>
    <row r="86" spans="1:16">
      <c r="C86" s="589"/>
      <c r="F86" s="585"/>
      <c r="G86" s="585"/>
    </row>
    <row r="87" spans="1:16">
      <c r="C87" s="589"/>
      <c r="F87" s="585"/>
      <c r="G87" s="585"/>
    </row>
    <row r="88" spans="1:16" ht="20.25">
      <c r="A88" s="836" t="str">
        <f>"'Worksheet F --  "&amp;'OKT TCOS'!F8&amp;" --  Calculation of Projected ARR for SPP Base Plan Upgrade Projects"</f>
        <v>'Worksheet F --  AEP OKLAHOMA TRANSMISSION COMPANY, INC. --  Calculation of Projected ARR for SPP Base Plan Upgrade Projects</v>
      </c>
      <c r="B88" s="478"/>
      <c r="C88" s="589"/>
      <c r="D88" s="837"/>
      <c r="E88" s="478"/>
      <c r="F88" s="838"/>
      <c r="G88" s="478"/>
      <c r="H88" s="839"/>
      <c r="I88" s="478"/>
      <c r="J88" s="840"/>
      <c r="K88" s="841"/>
      <c r="L88" s="841"/>
      <c r="M88" s="841"/>
      <c r="N88" s="842"/>
      <c r="O88" s="478"/>
    </row>
    <row r="89" spans="1:16" ht="18">
      <c r="A89" s="478"/>
      <c r="B89" s="478"/>
      <c r="C89" s="478"/>
      <c r="D89" s="837"/>
      <c r="E89" s="478"/>
      <c r="F89" s="478"/>
      <c r="G89" s="478"/>
      <c r="H89" s="839"/>
      <c r="I89" s="478"/>
      <c r="J89" s="840"/>
      <c r="K89" s="478"/>
      <c r="L89" s="478"/>
      <c r="M89" s="478"/>
      <c r="N89" s="843"/>
      <c r="O89" s="478"/>
    </row>
    <row r="90" spans="1:16" ht="18.75">
      <c r="A90" s="478"/>
      <c r="B90" s="723" t="s">
        <v>310</v>
      </c>
      <c r="C90" s="721" t="s">
        <v>442</v>
      </c>
      <c r="D90" s="837"/>
      <c r="E90" s="478"/>
      <c r="F90" s="478"/>
      <c r="G90" s="478"/>
      <c r="H90" s="839"/>
      <c r="I90" s="839"/>
      <c r="J90" s="844"/>
      <c r="K90" s="839"/>
      <c r="L90" s="839"/>
      <c r="M90" s="839"/>
      <c r="N90" s="839"/>
      <c r="O90" s="478"/>
      <c r="P90" s="845"/>
    </row>
    <row r="91" spans="1:16" ht="15.75" thickBot="1">
      <c r="A91" s="478"/>
      <c r="B91" s="478"/>
      <c r="C91" s="314"/>
      <c r="D91" s="837"/>
      <c r="E91" s="478"/>
      <c r="F91" s="478"/>
      <c r="G91" s="478"/>
      <c r="H91" s="839"/>
      <c r="I91" s="839"/>
      <c r="J91" s="844"/>
      <c r="K91" s="839"/>
      <c r="L91" s="839"/>
      <c r="M91" s="839"/>
      <c r="N91" s="839"/>
      <c r="O91" s="478"/>
      <c r="P91" s="478"/>
    </row>
    <row r="92" spans="1:16" ht="15">
      <c r="A92" s="478"/>
      <c r="B92" s="478"/>
      <c r="C92" s="846" t="s">
        <v>443</v>
      </c>
      <c r="D92" s="837"/>
      <c r="E92" s="478"/>
      <c r="F92" s="478"/>
      <c r="G92" s="847"/>
      <c r="H92" s="848"/>
      <c r="I92" s="478"/>
      <c r="J92" s="840"/>
      <c r="K92" s="849" t="s">
        <v>477</v>
      </c>
      <c r="L92" s="850"/>
      <c r="M92" s="851"/>
      <c r="N92" s="852"/>
      <c r="O92" s="478"/>
      <c r="P92" s="478"/>
    </row>
    <row r="93" spans="1:16" ht="15.75">
      <c r="A93" s="478"/>
      <c r="B93" s="478"/>
      <c r="C93" s="853"/>
      <c r="D93" s="837"/>
      <c r="E93" s="478"/>
      <c r="F93" s="478"/>
      <c r="G93" s="478"/>
      <c r="H93" s="854"/>
      <c r="I93" s="854"/>
      <c r="J93" s="855"/>
      <c r="K93" s="856" t="s">
        <v>478</v>
      </c>
      <c r="L93" s="857"/>
      <c r="M93" s="840"/>
      <c r="N93" s="858"/>
      <c r="O93" s="478"/>
      <c r="P93" s="478"/>
    </row>
    <row r="94" spans="1:16" ht="13.5" thickBot="1">
      <c r="A94" s="478"/>
      <c r="B94" s="478"/>
      <c r="C94" s="572" t="s">
        <v>444</v>
      </c>
      <c r="D94" s="859"/>
      <c r="E94" s="859"/>
      <c r="F94" s="859"/>
      <c r="G94" s="478"/>
      <c r="H94" s="839"/>
      <c r="I94" s="839"/>
      <c r="J94" s="844"/>
      <c r="K94" s="860" t="s">
        <v>445</v>
      </c>
      <c r="L94" s="861"/>
      <c r="M94" s="861"/>
      <c r="N94" s="862">
        <f>+N93-N92</f>
        <v>0</v>
      </c>
      <c r="O94" s="478"/>
      <c r="P94" s="478"/>
    </row>
    <row r="95" spans="1:16" ht="13.5" thickBot="1">
      <c r="A95" s="478"/>
      <c r="B95" s="478"/>
      <c r="C95" s="863"/>
      <c r="D95" s="653"/>
      <c r="E95" s="724"/>
      <c r="F95" s="724"/>
      <c r="G95" s="724"/>
      <c r="H95" s="724"/>
      <c r="I95" s="724"/>
      <c r="J95" s="759"/>
      <c r="K95" s="724"/>
      <c r="L95" s="724"/>
      <c r="M95" s="724"/>
      <c r="N95" s="724"/>
      <c r="O95" s="759"/>
    </row>
    <row r="96" spans="1:16" ht="13.5" thickBot="1">
      <c r="A96" s="478"/>
      <c r="B96" s="478"/>
      <c r="C96" s="864" t="s">
        <v>446</v>
      </c>
      <c r="D96" s="865"/>
      <c r="E96" s="866" t="s">
        <v>637</v>
      </c>
      <c r="F96" s="867"/>
      <c r="G96" s="867"/>
      <c r="H96" s="867"/>
      <c r="I96" s="868"/>
      <c r="J96" s="869"/>
      <c r="K96" s="478"/>
      <c r="L96" s="478"/>
      <c r="M96" s="478"/>
      <c r="N96" s="478"/>
      <c r="O96" s="870"/>
      <c r="P96" s="840"/>
    </row>
    <row r="97" spans="1:16">
      <c r="A97" s="478"/>
      <c r="B97" s="478"/>
      <c r="C97" s="871" t="s">
        <v>447</v>
      </c>
      <c r="D97" s="872"/>
      <c r="E97" s="804" t="s">
        <v>51</v>
      </c>
      <c r="F97" s="870"/>
      <c r="G97" s="873"/>
      <c r="H97" s="873"/>
      <c r="I97" s="874">
        <f>+K19</f>
        <v>2022</v>
      </c>
      <c r="J97" s="869"/>
      <c r="K97" s="844" t="s">
        <v>448</v>
      </c>
      <c r="L97" s="478"/>
      <c r="M97" s="478"/>
      <c r="N97" s="478"/>
      <c r="O97" s="840"/>
      <c r="P97" s="840"/>
    </row>
    <row r="98" spans="1:16">
      <c r="A98" s="478"/>
      <c r="B98" s="478"/>
      <c r="C98" s="769" t="s">
        <v>449</v>
      </c>
      <c r="D98" s="875"/>
      <c r="E98" s="769" t="s">
        <v>450</v>
      </c>
      <c r="F98" s="873"/>
      <c r="G98" s="840"/>
      <c r="H98" s="840"/>
      <c r="I98" s="876">
        <f>+F12</f>
        <v>0</v>
      </c>
      <c r="J98" s="877"/>
      <c r="K98" s="478" t="str">
        <f>"          INPUT PROJECTED ARR (WITH &amp; WITHOUT INCENTIVES) FROM EACH PRIOR YEAR"</f>
        <v xml:space="preserve">          INPUT PROJECTED ARR (WITH &amp; WITHOUT INCENTIVES) FROM EACH PRIOR YEAR</v>
      </c>
      <c r="L98" s="478"/>
      <c r="M98" s="478"/>
      <c r="N98" s="478"/>
      <c r="O98" s="840"/>
      <c r="P98" s="840"/>
    </row>
    <row r="99" spans="1:16">
      <c r="A99" s="478"/>
      <c r="B99" s="478"/>
      <c r="C99" s="769" t="s">
        <v>451</v>
      </c>
      <c r="D99" s="872">
        <v>0</v>
      </c>
      <c r="E99" s="769" t="s">
        <v>452</v>
      </c>
      <c r="F99" s="873"/>
      <c r="G99" s="840"/>
      <c r="H99" s="840"/>
      <c r="I99" s="878">
        <f>+F77</f>
        <v>0.11496601599681577</v>
      </c>
      <c r="J99" s="800"/>
      <c r="K99" s="478" t="s">
        <v>453</v>
      </c>
      <c r="L99" s="478"/>
      <c r="M99" s="478"/>
      <c r="N99" s="478"/>
      <c r="O99" s="840"/>
      <c r="P99" s="840"/>
    </row>
    <row r="100" spans="1:16">
      <c r="A100" s="478"/>
      <c r="B100" s="478"/>
      <c r="C100" s="769" t="s">
        <v>454</v>
      </c>
      <c r="D100" s="872">
        <v>0</v>
      </c>
      <c r="E100" s="769" t="s">
        <v>455</v>
      </c>
      <c r="F100" s="873"/>
      <c r="G100" s="840"/>
      <c r="H100" s="840"/>
      <c r="I100" s="878">
        <f>IF(G92="",I99,F76)</f>
        <v>0.11496601599681577</v>
      </c>
      <c r="J100" s="800"/>
      <c r="K100" s="844" t="s">
        <v>456</v>
      </c>
      <c r="L100" s="879"/>
      <c r="M100" s="879"/>
      <c r="N100" s="879"/>
      <c r="O100" s="840"/>
      <c r="P100" s="840"/>
    </row>
    <row r="101" spans="1:16" ht="13.5" thickBot="1">
      <c r="A101" s="478"/>
      <c r="B101" s="478"/>
      <c r="C101" s="769" t="s">
        <v>457</v>
      </c>
      <c r="D101" s="875"/>
      <c r="E101" s="840" t="s">
        <v>458</v>
      </c>
      <c r="F101" s="873"/>
      <c r="G101" s="840"/>
      <c r="H101" s="840"/>
      <c r="I101" s="880">
        <f>IF(D97=0,0,D97/D100)</f>
        <v>0</v>
      </c>
      <c r="J101" s="844"/>
      <c r="K101" s="844"/>
      <c r="L101" s="844"/>
      <c r="M101" s="844"/>
      <c r="N101" s="844"/>
      <c r="O101" s="840"/>
      <c r="P101" s="840"/>
    </row>
    <row r="102" spans="1:16" ht="66" customHeight="1">
      <c r="A102" s="478"/>
      <c r="B102" s="478"/>
      <c r="C102" s="881" t="s">
        <v>381</v>
      </c>
      <c r="D102" s="882" t="s">
        <v>459</v>
      </c>
      <c r="E102" s="882" t="s">
        <v>460</v>
      </c>
      <c r="F102" s="882" t="s">
        <v>461</v>
      </c>
      <c r="G102" s="883" t="s">
        <v>462</v>
      </c>
      <c r="H102" s="884" t="s">
        <v>463</v>
      </c>
      <c r="I102" s="881" t="s">
        <v>464</v>
      </c>
      <c r="J102" s="885"/>
      <c r="K102" s="886" t="s">
        <v>465</v>
      </c>
      <c r="L102" s="887" t="s">
        <v>466</v>
      </c>
      <c r="M102" s="886" t="s">
        <v>465</v>
      </c>
      <c r="N102" s="887" t="s">
        <v>466</v>
      </c>
      <c r="O102" s="888" t="s">
        <v>467</v>
      </c>
      <c r="P102" s="840"/>
    </row>
    <row r="103" spans="1:16" ht="15" customHeight="1" thickBot="1">
      <c r="A103" s="478"/>
      <c r="B103" s="478"/>
      <c r="C103" s="889" t="s">
        <v>468</v>
      </c>
      <c r="D103" s="890" t="s">
        <v>313</v>
      </c>
      <c r="E103" s="890" t="s">
        <v>212</v>
      </c>
      <c r="F103" s="890" t="s">
        <v>313</v>
      </c>
      <c r="G103" s="891" t="s">
        <v>469</v>
      </c>
      <c r="H103" s="892" t="s">
        <v>470</v>
      </c>
      <c r="I103" s="893" t="s">
        <v>630</v>
      </c>
      <c r="J103" s="894" t="s">
        <v>471</v>
      </c>
      <c r="K103" s="895" t="s">
        <v>472</v>
      </c>
      <c r="L103" s="896" t="s">
        <v>472</v>
      </c>
      <c r="M103" s="895" t="s">
        <v>631</v>
      </c>
      <c r="N103" s="897" t="s">
        <v>631</v>
      </c>
      <c r="O103" s="895" t="s">
        <v>631</v>
      </c>
      <c r="P103" s="840"/>
    </row>
    <row r="104" spans="1:16">
      <c r="A104" s="478"/>
      <c r="B104" s="837"/>
      <c r="C104" s="898" t="str">
        <f>IF(D98= "","-",D98)</f>
        <v>-</v>
      </c>
      <c r="D104" s="899">
        <f>D97</f>
        <v>0</v>
      </c>
      <c r="E104" s="900">
        <f>I101/12*(12-D99)</f>
        <v>0</v>
      </c>
      <c r="F104" s="899">
        <f t="shared" ref="F104:F159" si="2">+D104-E104</f>
        <v>0</v>
      </c>
      <c r="G104" s="900">
        <f>+I99*F104+E104</f>
        <v>0</v>
      </c>
      <c r="H104" s="880">
        <f>+I100*F104+E104</f>
        <v>0</v>
      </c>
      <c r="I104" s="901">
        <f t="shared" ref="I104:I159" si="3">H104-G104</f>
        <v>0</v>
      </c>
      <c r="J104" s="901"/>
      <c r="K104" s="902"/>
      <c r="L104" s="903">
        <f t="shared" ref="L104:L159" si="4">IF(K104&lt;&gt;0,+G104-K104,0)</f>
        <v>0</v>
      </c>
      <c r="M104" s="902"/>
      <c r="N104" s="903">
        <f t="shared" ref="N104:N159" si="5">IF(M104&lt;&gt;0,+H104-M104,0)</f>
        <v>0</v>
      </c>
      <c r="O104" s="904">
        <f t="shared" ref="O104:O159" si="6">+N104-L104</f>
        <v>0</v>
      </c>
      <c r="P104" s="840"/>
    </row>
    <row r="105" spans="1:16">
      <c r="A105" s="478"/>
      <c r="B105" s="837" t="str">
        <f>IF(D105=F104,"","IU")</f>
        <v/>
      </c>
      <c r="C105" s="898" t="str">
        <f>IF(D98="","-",+C104+1)</f>
        <v>-</v>
      </c>
      <c r="D105" s="905">
        <f t="shared" ref="D105:D159" si="7">F104</f>
        <v>0</v>
      </c>
      <c r="E105" s="906">
        <f>IF(+I101&lt;F104,I101,D105)</f>
        <v>0</v>
      </c>
      <c r="F105" s="905">
        <f t="shared" si="2"/>
        <v>0</v>
      </c>
      <c r="G105" s="906">
        <f>+I$11*F105+E105</f>
        <v>0</v>
      </c>
      <c r="H105" s="880">
        <f>+I$12*F105+E105</f>
        <v>0</v>
      </c>
      <c r="I105" s="901">
        <f t="shared" si="3"/>
        <v>0</v>
      </c>
      <c r="J105" s="901"/>
      <c r="K105" s="907"/>
      <c r="L105" s="904">
        <f t="shared" si="4"/>
        <v>0</v>
      </c>
      <c r="M105" s="907"/>
      <c r="N105" s="904">
        <f t="shared" si="5"/>
        <v>0</v>
      </c>
      <c r="O105" s="904">
        <f t="shared" si="6"/>
        <v>0</v>
      </c>
      <c r="P105" s="840"/>
    </row>
    <row r="106" spans="1:16">
      <c r="A106" s="478"/>
      <c r="B106" s="837" t="str">
        <f>IF(D106=F105,"","IU")</f>
        <v/>
      </c>
      <c r="C106" s="898" t="str">
        <f>IF(D98="","-",+C105+1)</f>
        <v>-</v>
      </c>
      <c r="D106" s="905">
        <f t="shared" si="7"/>
        <v>0</v>
      </c>
      <c r="E106" s="906">
        <f>IF(+I101&lt;F105,I101,D106)</f>
        <v>0</v>
      </c>
      <c r="F106" s="905">
        <f t="shared" si="2"/>
        <v>0</v>
      </c>
      <c r="G106" s="906">
        <f t="shared" ref="G106:G159" si="8">+I$11*F106+E106</f>
        <v>0</v>
      </c>
      <c r="H106" s="880">
        <f t="shared" ref="H106:H159" si="9">+I$12*F106+E106</f>
        <v>0</v>
      </c>
      <c r="I106" s="901">
        <f t="shared" si="3"/>
        <v>0</v>
      </c>
      <c r="J106" s="901"/>
      <c r="K106" s="907"/>
      <c r="L106" s="904">
        <f t="shared" si="4"/>
        <v>0</v>
      </c>
      <c r="M106" s="907"/>
      <c r="N106" s="904">
        <f t="shared" si="5"/>
        <v>0</v>
      </c>
      <c r="O106" s="904">
        <f t="shared" si="6"/>
        <v>0</v>
      </c>
      <c r="P106" s="840"/>
    </row>
    <row r="107" spans="1:16">
      <c r="A107" s="478"/>
      <c r="B107" s="837" t="str">
        <f t="shared" ref="B107:B159" si="10">IF(D107=F106,"","IU")</f>
        <v/>
      </c>
      <c r="C107" s="898" t="str">
        <f>IF(D98="","-",+C106+1)</f>
        <v>-</v>
      </c>
      <c r="D107" s="905">
        <f t="shared" si="7"/>
        <v>0</v>
      </c>
      <c r="E107" s="906">
        <f>IF(+I101&lt;F106,I101,D107)</f>
        <v>0</v>
      </c>
      <c r="F107" s="905">
        <f t="shared" si="2"/>
        <v>0</v>
      </c>
      <c r="G107" s="906">
        <f t="shared" si="8"/>
        <v>0</v>
      </c>
      <c r="H107" s="880">
        <f t="shared" si="9"/>
        <v>0</v>
      </c>
      <c r="I107" s="901">
        <f t="shared" si="3"/>
        <v>0</v>
      </c>
      <c r="J107" s="901"/>
      <c r="K107" s="907"/>
      <c r="L107" s="904">
        <f t="shared" si="4"/>
        <v>0</v>
      </c>
      <c r="M107" s="907"/>
      <c r="N107" s="904">
        <f t="shared" si="5"/>
        <v>0</v>
      </c>
      <c r="O107" s="904">
        <f t="shared" si="6"/>
        <v>0</v>
      </c>
      <c r="P107" s="840"/>
    </row>
    <row r="108" spans="1:16">
      <c r="A108" s="478"/>
      <c r="B108" s="837" t="str">
        <f t="shared" si="10"/>
        <v/>
      </c>
      <c r="C108" s="898" t="str">
        <f>IF(D98="","-",+C107+1)</f>
        <v>-</v>
      </c>
      <c r="D108" s="905">
        <f t="shared" si="7"/>
        <v>0</v>
      </c>
      <c r="E108" s="906">
        <f>IF(+I101&lt;F107,I101,D108)</f>
        <v>0</v>
      </c>
      <c r="F108" s="905">
        <f t="shared" si="2"/>
        <v>0</v>
      </c>
      <c r="G108" s="906">
        <f t="shared" si="8"/>
        <v>0</v>
      </c>
      <c r="H108" s="880">
        <f t="shared" si="9"/>
        <v>0</v>
      </c>
      <c r="I108" s="901">
        <f t="shared" si="3"/>
        <v>0</v>
      </c>
      <c r="J108" s="901"/>
      <c r="K108" s="907"/>
      <c r="L108" s="904">
        <f t="shared" si="4"/>
        <v>0</v>
      </c>
      <c r="M108" s="907"/>
      <c r="N108" s="904">
        <f t="shared" si="5"/>
        <v>0</v>
      </c>
      <c r="O108" s="904">
        <f t="shared" si="6"/>
        <v>0</v>
      </c>
      <c r="P108" s="840"/>
    </row>
    <row r="109" spans="1:16">
      <c r="A109" s="478"/>
      <c r="B109" s="837" t="str">
        <f t="shared" si="10"/>
        <v/>
      </c>
      <c r="C109" s="898" t="str">
        <f>IF(D98="","-",+C108+1)</f>
        <v>-</v>
      </c>
      <c r="D109" s="905">
        <f t="shared" si="7"/>
        <v>0</v>
      </c>
      <c r="E109" s="906">
        <f>IF(+I101&lt;F108,I101,D109)</f>
        <v>0</v>
      </c>
      <c r="F109" s="905">
        <f t="shared" si="2"/>
        <v>0</v>
      </c>
      <c r="G109" s="906">
        <f t="shared" si="8"/>
        <v>0</v>
      </c>
      <c r="H109" s="880">
        <f t="shared" si="9"/>
        <v>0</v>
      </c>
      <c r="I109" s="901">
        <f t="shared" si="3"/>
        <v>0</v>
      </c>
      <c r="J109" s="901"/>
      <c r="K109" s="907"/>
      <c r="L109" s="904">
        <f t="shared" si="4"/>
        <v>0</v>
      </c>
      <c r="M109" s="907"/>
      <c r="N109" s="904">
        <f t="shared" si="5"/>
        <v>0</v>
      </c>
      <c r="O109" s="904">
        <f t="shared" si="6"/>
        <v>0</v>
      </c>
      <c r="P109" s="840"/>
    </row>
    <row r="110" spans="1:16">
      <c r="A110" s="478"/>
      <c r="B110" s="837" t="str">
        <f t="shared" si="10"/>
        <v/>
      </c>
      <c r="C110" s="898" t="str">
        <f>IF(D98="","-",+C109+1)</f>
        <v>-</v>
      </c>
      <c r="D110" s="905">
        <f t="shared" si="7"/>
        <v>0</v>
      </c>
      <c r="E110" s="906">
        <f>IF(+I101&lt;F109,I101,D110)</f>
        <v>0</v>
      </c>
      <c r="F110" s="905">
        <f t="shared" si="2"/>
        <v>0</v>
      </c>
      <c r="G110" s="906">
        <f t="shared" si="8"/>
        <v>0</v>
      </c>
      <c r="H110" s="880">
        <f t="shared" si="9"/>
        <v>0</v>
      </c>
      <c r="I110" s="901">
        <f t="shared" si="3"/>
        <v>0</v>
      </c>
      <c r="J110" s="901"/>
      <c r="K110" s="907"/>
      <c r="L110" s="904">
        <f t="shared" si="4"/>
        <v>0</v>
      </c>
      <c r="M110" s="907"/>
      <c r="N110" s="904">
        <f t="shared" si="5"/>
        <v>0</v>
      </c>
      <c r="O110" s="904">
        <f t="shared" si="6"/>
        <v>0</v>
      </c>
      <c r="P110" s="840"/>
    </row>
    <row r="111" spans="1:16">
      <c r="A111" s="478"/>
      <c r="B111" s="837" t="str">
        <f t="shared" si="10"/>
        <v/>
      </c>
      <c r="C111" s="898" t="str">
        <f>IF(D98="","-",+C110+1)</f>
        <v>-</v>
      </c>
      <c r="D111" s="905">
        <f t="shared" si="7"/>
        <v>0</v>
      </c>
      <c r="E111" s="906">
        <f>IF(+I101&lt;F110,I101,D111)</f>
        <v>0</v>
      </c>
      <c r="F111" s="905">
        <f t="shared" si="2"/>
        <v>0</v>
      </c>
      <c r="G111" s="906">
        <f t="shared" si="8"/>
        <v>0</v>
      </c>
      <c r="H111" s="880">
        <f t="shared" si="9"/>
        <v>0</v>
      </c>
      <c r="I111" s="901">
        <f t="shared" si="3"/>
        <v>0</v>
      </c>
      <c r="J111" s="901"/>
      <c r="K111" s="907"/>
      <c r="L111" s="904">
        <f t="shared" si="4"/>
        <v>0</v>
      </c>
      <c r="M111" s="907"/>
      <c r="N111" s="904">
        <f t="shared" si="5"/>
        <v>0</v>
      </c>
      <c r="O111" s="904">
        <f t="shared" si="6"/>
        <v>0</v>
      </c>
      <c r="P111" s="840"/>
    </row>
    <row r="112" spans="1:16">
      <c r="A112" s="478"/>
      <c r="B112" s="837" t="str">
        <f t="shared" si="10"/>
        <v/>
      </c>
      <c r="C112" s="898" t="str">
        <f>IF(D98="","-",+C111+1)</f>
        <v>-</v>
      </c>
      <c r="D112" s="905">
        <f t="shared" si="7"/>
        <v>0</v>
      </c>
      <c r="E112" s="906">
        <f>IF(+I101&lt;F111,I101,D112)</f>
        <v>0</v>
      </c>
      <c r="F112" s="905">
        <f t="shared" si="2"/>
        <v>0</v>
      </c>
      <c r="G112" s="906">
        <f t="shared" si="8"/>
        <v>0</v>
      </c>
      <c r="H112" s="880">
        <f t="shared" si="9"/>
        <v>0</v>
      </c>
      <c r="I112" s="901">
        <f t="shared" si="3"/>
        <v>0</v>
      </c>
      <c r="J112" s="901"/>
      <c r="K112" s="907"/>
      <c r="L112" s="904">
        <f t="shared" si="4"/>
        <v>0</v>
      </c>
      <c r="M112" s="907"/>
      <c r="N112" s="904">
        <f t="shared" si="5"/>
        <v>0</v>
      </c>
      <c r="O112" s="904">
        <f t="shared" si="6"/>
        <v>0</v>
      </c>
      <c r="P112" s="840"/>
    </row>
    <row r="113" spans="1:16">
      <c r="A113" s="478"/>
      <c r="B113" s="837" t="str">
        <f t="shared" si="10"/>
        <v/>
      </c>
      <c r="C113" s="898" t="str">
        <f>IF(D98="","-",+C112+1)</f>
        <v>-</v>
      </c>
      <c r="D113" s="905">
        <f t="shared" si="7"/>
        <v>0</v>
      </c>
      <c r="E113" s="906">
        <f>IF(+I101&lt;F112,I101,D113)</f>
        <v>0</v>
      </c>
      <c r="F113" s="905">
        <f t="shared" si="2"/>
        <v>0</v>
      </c>
      <c r="G113" s="906">
        <f t="shared" si="8"/>
        <v>0</v>
      </c>
      <c r="H113" s="880">
        <f t="shared" si="9"/>
        <v>0</v>
      </c>
      <c r="I113" s="901">
        <f t="shared" si="3"/>
        <v>0</v>
      </c>
      <c r="J113" s="901"/>
      <c r="K113" s="907"/>
      <c r="L113" s="904">
        <f t="shared" si="4"/>
        <v>0</v>
      </c>
      <c r="M113" s="907"/>
      <c r="N113" s="904">
        <f t="shared" si="5"/>
        <v>0</v>
      </c>
      <c r="O113" s="904">
        <f t="shared" si="6"/>
        <v>0</v>
      </c>
      <c r="P113" s="840"/>
    </row>
    <row r="114" spans="1:16">
      <c r="A114" s="478"/>
      <c r="B114" s="837" t="str">
        <f t="shared" si="10"/>
        <v/>
      </c>
      <c r="C114" s="898" t="str">
        <f>IF(D98="","-",+C113+1)</f>
        <v>-</v>
      </c>
      <c r="D114" s="908">
        <f t="shared" si="7"/>
        <v>0</v>
      </c>
      <c r="E114" s="906">
        <f>IF(+I101&lt;F113,I101,D114)</f>
        <v>0</v>
      </c>
      <c r="F114" s="905">
        <f t="shared" si="2"/>
        <v>0</v>
      </c>
      <c r="G114" s="906">
        <f t="shared" si="8"/>
        <v>0</v>
      </c>
      <c r="H114" s="880">
        <f t="shared" si="9"/>
        <v>0</v>
      </c>
      <c r="I114" s="901">
        <f t="shared" si="3"/>
        <v>0</v>
      </c>
      <c r="J114" s="901"/>
      <c r="K114" s="907"/>
      <c r="L114" s="904">
        <f t="shared" si="4"/>
        <v>0</v>
      </c>
      <c r="M114" s="907"/>
      <c r="N114" s="904">
        <f t="shared" si="5"/>
        <v>0</v>
      </c>
      <c r="O114" s="904">
        <f t="shared" si="6"/>
        <v>0</v>
      </c>
      <c r="P114" s="840"/>
    </row>
    <row r="115" spans="1:16">
      <c r="A115" s="478"/>
      <c r="B115" s="837" t="str">
        <f t="shared" si="10"/>
        <v/>
      </c>
      <c r="C115" s="898" t="str">
        <f>IF(D98="","-",+C114+1)</f>
        <v>-</v>
      </c>
      <c r="D115" s="905">
        <f t="shared" si="7"/>
        <v>0</v>
      </c>
      <c r="E115" s="906">
        <f>IF(+I101&lt;F114,I101,D115)</f>
        <v>0</v>
      </c>
      <c r="F115" s="905">
        <f t="shared" si="2"/>
        <v>0</v>
      </c>
      <c r="G115" s="906">
        <f t="shared" si="8"/>
        <v>0</v>
      </c>
      <c r="H115" s="880">
        <f t="shared" si="9"/>
        <v>0</v>
      </c>
      <c r="I115" s="901">
        <f t="shared" si="3"/>
        <v>0</v>
      </c>
      <c r="J115" s="901"/>
      <c r="K115" s="907"/>
      <c r="L115" s="904">
        <f t="shared" si="4"/>
        <v>0</v>
      </c>
      <c r="M115" s="907"/>
      <c r="N115" s="904">
        <f t="shared" si="5"/>
        <v>0</v>
      </c>
      <c r="O115" s="904">
        <f t="shared" si="6"/>
        <v>0</v>
      </c>
      <c r="P115" s="840"/>
    </row>
    <row r="116" spans="1:16">
      <c r="A116" s="478"/>
      <c r="B116" s="837" t="str">
        <f t="shared" si="10"/>
        <v/>
      </c>
      <c r="C116" s="898" t="str">
        <f>IF(D98="","-",+C115+1)</f>
        <v>-</v>
      </c>
      <c r="D116" s="905">
        <f t="shared" si="7"/>
        <v>0</v>
      </c>
      <c r="E116" s="906">
        <f>IF(+I101&lt;F115,I101,D116)</f>
        <v>0</v>
      </c>
      <c r="F116" s="905">
        <f t="shared" si="2"/>
        <v>0</v>
      </c>
      <c r="G116" s="906">
        <f t="shared" si="8"/>
        <v>0</v>
      </c>
      <c r="H116" s="880">
        <f t="shared" si="9"/>
        <v>0</v>
      </c>
      <c r="I116" s="901">
        <f t="shared" si="3"/>
        <v>0</v>
      </c>
      <c r="J116" s="901"/>
      <c r="K116" s="907"/>
      <c r="L116" s="904">
        <f t="shared" si="4"/>
        <v>0</v>
      </c>
      <c r="M116" s="907"/>
      <c r="N116" s="904">
        <f t="shared" si="5"/>
        <v>0</v>
      </c>
      <c r="O116" s="904">
        <f t="shared" si="6"/>
        <v>0</v>
      </c>
      <c r="P116" s="840"/>
    </row>
    <row r="117" spans="1:16">
      <c r="A117" s="478"/>
      <c r="B117" s="837" t="str">
        <f t="shared" si="10"/>
        <v/>
      </c>
      <c r="C117" s="898" t="str">
        <f>IF(D98="","-",+C116+1)</f>
        <v>-</v>
      </c>
      <c r="D117" s="905">
        <f t="shared" si="7"/>
        <v>0</v>
      </c>
      <c r="E117" s="906">
        <f>IF(+I101&lt;F116,I101,D117)</f>
        <v>0</v>
      </c>
      <c r="F117" s="905">
        <f t="shared" si="2"/>
        <v>0</v>
      </c>
      <c r="G117" s="906">
        <f t="shared" si="8"/>
        <v>0</v>
      </c>
      <c r="H117" s="880">
        <f t="shared" si="9"/>
        <v>0</v>
      </c>
      <c r="I117" s="901">
        <f t="shared" si="3"/>
        <v>0</v>
      </c>
      <c r="J117" s="901"/>
      <c r="K117" s="907"/>
      <c r="L117" s="904">
        <f t="shared" si="4"/>
        <v>0</v>
      </c>
      <c r="M117" s="907"/>
      <c r="N117" s="904">
        <f t="shared" si="5"/>
        <v>0</v>
      </c>
      <c r="O117" s="904">
        <f t="shared" si="6"/>
        <v>0</v>
      </c>
      <c r="P117" s="840"/>
    </row>
    <row r="118" spans="1:16">
      <c r="A118" s="478"/>
      <c r="B118" s="837" t="str">
        <f t="shared" si="10"/>
        <v/>
      </c>
      <c r="C118" s="898" t="str">
        <f>IF(D98="","-",+C117+1)</f>
        <v>-</v>
      </c>
      <c r="D118" s="905">
        <f t="shared" si="7"/>
        <v>0</v>
      </c>
      <c r="E118" s="906">
        <f>IF(+I101&lt;F117,I101,D118)</f>
        <v>0</v>
      </c>
      <c r="F118" s="905">
        <f t="shared" si="2"/>
        <v>0</v>
      </c>
      <c r="G118" s="906">
        <f t="shared" si="8"/>
        <v>0</v>
      </c>
      <c r="H118" s="880">
        <f t="shared" si="9"/>
        <v>0</v>
      </c>
      <c r="I118" s="901">
        <f t="shared" si="3"/>
        <v>0</v>
      </c>
      <c r="J118" s="901"/>
      <c r="K118" s="907"/>
      <c r="L118" s="904">
        <f t="shared" si="4"/>
        <v>0</v>
      </c>
      <c r="M118" s="907"/>
      <c r="N118" s="904">
        <f t="shared" si="5"/>
        <v>0</v>
      </c>
      <c r="O118" s="904">
        <f t="shared" si="6"/>
        <v>0</v>
      </c>
      <c r="P118" s="840"/>
    </row>
    <row r="119" spans="1:16">
      <c r="A119" s="478"/>
      <c r="B119" s="837" t="str">
        <f t="shared" si="10"/>
        <v/>
      </c>
      <c r="C119" s="898" t="str">
        <f>IF(D98="","-",+C118+1)</f>
        <v>-</v>
      </c>
      <c r="D119" s="905">
        <f t="shared" si="7"/>
        <v>0</v>
      </c>
      <c r="E119" s="906">
        <f>IF(+I101&lt;F118,I101,D119)</f>
        <v>0</v>
      </c>
      <c r="F119" s="905">
        <f t="shared" si="2"/>
        <v>0</v>
      </c>
      <c r="G119" s="906">
        <f t="shared" si="8"/>
        <v>0</v>
      </c>
      <c r="H119" s="880">
        <f t="shared" si="9"/>
        <v>0</v>
      </c>
      <c r="I119" s="901">
        <f t="shared" si="3"/>
        <v>0</v>
      </c>
      <c r="J119" s="901"/>
      <c r="K119" s="907"/>
      <c r="L119" s="904">
        <f t="shared" si="4"/>
        <v>0</v>
      </c>
      <c r="M119" s="907"/>
      <c r="N119" s="904">
        <f t="shared" si="5"/>
        <v>0</v>
      </c>
      <c r="O119" s="904">
        <f t="shared" si="6"/>
        <v>0</v>
      </c>
      <c r="P119" s="840"/>
    </row>
    <row r="120" spans="1:16">
      <c r="A120" s="478"/>
      <c r="B120" s="837" t="str">
        <f t="shared" si="10"/>
        <v/>
      </c>
      <c r="C120" s="898" t="str">
        <f>IF(D98="","-",+C119+1)</f>
        <v>-</v>
      </c>
      <c r="D120" s="905">
        <f t="shared" si="7"/>
        <v>0</v>
      </c>
      <c r="E120" s="906">
        <f>IF(+I101&lt;F119,I101,D120)</f>
        <v>0</v>
      </c>
      <c r="F120" s="905">
        <f t="shared" si="2"/>
        <v>0</v>
      </c>
      <c r="G120" s="906">
        <f t="shared" si="8"/>
        <v>0</v>
      </c>
      <c r="H120" s="880">
        <f t="shared" si="9"/>
        <v>0</v>
      </c>
      <c r="I120" s="901">
        <f t="shared" si="3"/>
        <v>0</v>
      </c>
      <c r="J120" s="901"/>
      <c r="K120" s="907"/>
      <c r="L120" s="904">
        <f t="shared" si="4"/>
        <v>0</v>
      </c>
      <c r="M120" s="907"/>
      <c r="N120" s="904">
        <f t="shared" si="5"/>
        <v>0</v>
      </c>
      <c r="O120" s="904">
        <f t="shared" si="6"/>
        <v>0</v>
      </c>
      <c r="P120" s="840"/>
    </row>
    <row r="121" spans="1:16">
      <c r="A121" s="478"/>
      <c r="B121" s="837" t="str">
        <f t="shared" si="10"/>
        <v/>
      </c>
      <c r="C121" s="898" t="str">
        <f>IF(D98="","-",+C120+1)</f>
        <v>-</v>
      </c>
      <c r="D121" s="905">
        <f t="shared" si="7"/>
        <v>0</v>
      </c>
      <c r="E121" s="906">
        <f>IF(+I101&lt;F120,I101,D121)</f>
        <v>0</v>
      </c>
      <c r="F121" s="905">
        <f t="shared" si="2"/>
        <v>0</v>
      </c>
      <c r="G121" s="906">
        <f t="shared" si="8"/>
        <v>0</v>
      </c>
      <c r="H121" s="880">
        <f t="shared" si="9"/>
        <v>0</v>
      </c>
      <c r="I121" s="901">
        <f t="shared" si="3"/>
        <v>0</v>
      </c>
      <c r="J121" s="901"/>
      <c r="K121" s="907"/>
      <c r="L121" s="904">
        <f t="shared" si="4"/>
        <v>0</v>
      </c>
      <c r="M121" s="907"/>
      <c r="N121" s="904">
        <f t="shared" si="5"/>
        <v>0</v>
      </c>
      <c r="O121" s="904">
        <f t="shared" si="6"/>
        <v>0</v>
      </c>
      <c r="P121" s="840"/>
    </row>
    <row r="122" spans="1:16">
      <c r="A122" s="478"/>
      <c r="B122" s="837" t="str">
        <f t="shared" si="10"/>
        <v/>
      </c>
      <c r="C122" s="898" t="str">
        <f>IF(D98="","-",+C121+1)</f>
        <v>-</v>
      </c>
      <c r="D122" s="905">
        <f t="shared" si="7"/>
        <v>0</v>
      </c>
      <c r="E122" s="906">
        <f>IF(+I101&lt;F121,I101,D122)</f>
        <v>0</v>
      </c>
      <c r="F122" s="905">
        <f t="shared" si="2"/>
        <v>0</v>
      </c>
      <c r="G122" s="906">
        <f t="shared" si="8"/>
        <v>0</v>
      </c>
      <c r="H122" s="880">
        <f t="shared" si="9"/>
        <v>0</v>
      </c>
      <c r="I122" s="901">
        <f t="shared" si="3"/>
        <v>0</v>
      </c>
      <c r="J122" s="901"/>
      <c r="K122" s="907"/>
      <c r="L122" s="904">
        <f t="shared" si="4"/>
        <v>0</v>
      </c>
      <c r="M122" s="907"/>
      <c r="N122" s="904">
        <f t="shared" si="5"/>
        <v>0</v>
      </c>
      <c r="O122" s="904">
        <f t="shared" si="6"/>
        <v>0</v>
      </c>
      <c r="P122" s="840"/>
    </row>
    <row r="123" spans="1:16">
      <c r="A123" s="478"/>
      <c r="B123" s="837" t="str">
        <f t="shared" si="10"/>
        <v/>
      </c>
      <c r="C123" s="898" t="str">
        <f>IF(D98="","-",+C122+1)</f>
        <v>-</v>
      </c>
      <c r="D123" s="905">
        <f t="shared" si="7"/>
        <v>0</v>
      </c>
      <c r="E123" s="906">
        <f>IF(+I101&lt;F122,I101,D123)</f>
        <v>0</v>
      </c>
      <c r="F123" s="905">
        <f t="shared" si="2"/>
        <v>0</v>
      </c>
      <c r="G123" s="906">
        <f t="shared" si="8"/>
        <v>0</v>
      </c>
      <c r="H123" s="880">
        <f t="shared" si="9"/>
        <v>0</v>
      </c>
      <c r="I123" s="901">
        <f t="shared" si="3"/>
        <v>0</v>
      </c>
      <c r="J123" s="901"/>
      <c r="K123" s="907"/>
      <c r="L123" s="904">
        <f t="shared" si="4"/>
        <v>0</v>
      </c>
      <c r="M123" s="907"/>
      <c r="N123" s="904">
        <f t="shared" si="5"/>
        <v>0</v>
      </c>
      <c r="O123" s="904">
        <f t="shared" si="6"/>
        <v>0</v>
      </c>
      <c r="P123" s="840"/>
    </row>
    <row r="124" spans="1:16">
      <c r="A124" s="478"/>
      <c r="B124" s="837" t="str">
        <f t="shared" si="10"/>
        <v/>
      </c>
      <c r="C124" s="898" t="str">
        <f>IF(D98="","-",+C123+1)</f>
        <v>-</v>
      </c>
      <c r="D124" s="905">
        <f t="shared" si="7"/>
        <v>0</v>
      </c>
      <c r="E124" s="906">
        <f>IF(+I101&lt;F123,I101,D124)</f>
        <v>0</v>
      </c>
      <c r="F124" s="905">
        <f t="shared" si="2"/>
        <v>0</v>
      </c>
      <c r="G124" s="906">
        <f t="shared" si="8"/>
        <v>0</v>
      </c>
      <c r="H124" s="880">
        <f t="shared" si="9"/>
        <v>0</v>
      </c>
      <c r="I124" s="901">
        <f t="shared" si="3"/>
        <v>0</v>
      </c>
      <c r="J124" s="901"/>
      <c r="K124" s="907"/>
      <c r="L124" s="904">
        <f t="shared" si="4"/>
        <v>0</v>
      </c>
      <c r="M124" s="907"/>
      <c r="N124" s="904">
        <f t="shared" si="5"/>
        <v>0</v>
      </c>
      <c r="O124" s="904">
        <f t="shared" si="6"/>
        <v>0</v>
      </c>
      <c r="P124" s="840"/>
    </row>
    <row r="125" spans="1:16">
      <c r="A125" s="478"/>
      <c r="B125" s="837" t="str">
        <f t="shared" si="10"/>
        <v/>
      </c>
      <c r="C125" s="898" t="str">
        <f>IF(D98="","-",+C124+1)</f>
        <v>-</v>
      </c>
      <c r="D125" s="905">
        <f t="shared" si="7"/>
        <v>0</v>
      </c>
      <c r="E125" s="906">
        <f>IF(+I101&lt;F124,I101,D125)</f>
        <v>0</v>
      </c>
      <c r="F125" s="905">
        <f t="shared" si="2"/>
        <v>0</v>
      </c>
      <c r="G125" s="906">
        <f t="shared" si="8"/>
        <v>0</v>
      </c>
      <c r="H125" s="880">
        <f t="shared" si="9"/>
        <v>0</v>
      </c>
      <c r="I125" s="901">
        <f t="shared" si="3"/>
        <v>0</v>
      </c>
      <c r="J125" s="901"/>
      <c r="K125" s="907"/>
      <c r="L125" s="904">
        <f t="shared" si="4"/>
        <v>0</v>
      </c>
      <c r="M125" s="907"/>
      <c r="N125" s="904">
        <f t="shared" si="5"/>
        <v>0</v>
      </c>
      <c r="O125" s="904">
        <f t="shared" si="6"/>
        <v>0</v>
      </c>
      <c r="P125" s="840"/>
    </row>
    <row r="126" spans="1:16">
      <c r="A126" s="478"/>
      <c r="B126" s="837" t="str">
        <f t="shared" si="10"/>
        <v/>
      </c>
      <c r="C126" s="898" t="str">
        <f>IF(D98="","-",+C125+1)</f>
        <v>-</v>
      </c>
      <c r="D126" s="905">
        <f t="shared" si="7"/>
        <v>0</v>
      </c>
      <c r="E126" s="906">
        <f>IF(+I101&lt;F125,I101,D126)</f>
        <v>0</v>
      </c>
      <c r="F126" s="905">
        <f t="shared" si="2"/>
        <v>0</v>
      </c>
      <c r="G126" s="906">
        <f t="shared" si="8"/>
        <v>0</v>
      </c>
      <c r="H126" s="880">
        <f t="shared" si="9"/>
        <v>0</v>
      </c>
      <c r="I126" s="901">
        <f t="shared" si="3"/>
        <v>0</v>
      </c>
      <c r="J126" s="901"/>
      <c r="K126" s="907"/>
      <c r="L126" s="904">
        <f t="shared" si="4"/>
        <v>0</v>
      </c>
      <c r="M126" s="907"/>
      <c r="N126" s="904">
        <f t="shared" si="5"/>
        <v>0</v>
      </c>
      <c r="O126" s="904">
        <f t="shared" si="6"/>
        <v>0</v>
      </c>
      <c r="P126" s="840"/>
    </row>
    <row r="127" spans="1:16">
      <c r="A127" s="478"/>
      <c r="B127" s="837" t="str">
        <f t="shared" si="10"/>
        <v/>
      </c>
      <c r="C127" s="898" t="str">
        <f>IF(D98="","-",+C126+1)</f>
        <v>-</v>
      </c>
      <c r="D127" s="905">
        <f t="shared" si="7"/>
        <v>0</v>
      </c>
      <c r="E127" s="906">
        <f>IF(+I101&lt;F126,I101,D127)</f>
        <v>0</v>
      </c>
      <c r="F127" s="905">
        <f t="shared" si="2"/>
        <v>0</v>
      </c>
      <c r="G127" s="906">
        <f t="shared" si="8"/>
        <v>0</v>
      </c>
      <c r="H127" s="880">
        <f t="shared" si="9"/>
        <v>0</v>
      </c>
      <c r="I127" s="901">
        <f t="shared" si="3"/>
        <v>0</v>
      </c>
      <c r="J127" s="901"/>
      <c r="K127" s="907"/>
      <c r="L127" s="904">
        <f t="shared" si="4"/>
        <v>0</v>
      </c>
      <c r="M127" s="907"/>
      <c r="N127" s="904">
        <f t="shared" si="5"/>
        <v>0</v>
      </c>
      <c r="O127" s="904">
        <f t="shared" si="6"/>
        <v>0</v>
      </c>
      <c r="P127" s="840"/>
    </row>
    <row r="128" spans="1:16">
      <c r="A128" s="478"/>
      <c r="B128" s="837" t="str">
        <f t="shared" si="10"/>
        <v/>
      </c>
      <c r="C128" s="898" t="str">
        <f>IF(D98="","-",+C127+1)</f>
        <v>-</v>
      </c>
      <c r="D128" s="905">
        <f t="shared" si="7"/>
        <v>0</v>
      </c>
      <c r="E128" s="906">
        <f>IF(+I101&lt;F127,I101,D128)</f>
        <v>0</v>
      </c>
      <c r="F128" s="905">
        <f t="shared" si="2"/>
        <v>0</v>
      </c>
      <c r="G128" s="906">
        <f t="shared" si="8"/>
        <v>0</v>
      </c>
      <c r="H128" s="880">
        <f t="shared" si="9"/>
        <v>0</v>
      </c>
      <c r="I128" s="901">
        <f t="shared" si="3"/>
        <v>0</v>
      </c>
      <c r="J128" s="901"/>
      <c r="K128" s="907"/>
      <c r="L128" s="904">
        <f t="shared" si="4"/>
        <v>0</v>
      </c>
      <c r="M128" s="907"/>
      <c r="N128" s="904">
        <f t="shared" si="5"/>
        <v>0</v>
      </c>
      <c r="O128" s="904">
        <f t="shared" si="6"/>
        <v>0</v>
      </c>
      <c r="P128" s="840"/>
    </row>
    <row r="129" spans="1:16">
      <c r="A129" s="478"/>
      <c r="B129" s="837" t="str">
        <f t="shared" si="10"/>
        <v/>
      </c>
      <c r="C129" s="898" t="str">
        <f>IF(D98="","-",+C128+1)</f>
        <v>-</v>
      </c>
      <c r="D129" s="905">
        <f t="shared" si="7"/>
        <v>0</v>
      </c>
      <c r="E129" s="906">
        <f>IF(+I101&lt;F128,I101,D129)</f>
        <v>0</v>
      </c>
      <c r="F129" s="905">
        <f t="shared" si="2"/>
        <v>0</v>
      </c>
      <c r="G129" s="906">
        <f t="shared" si="8"/>
        <v>0</v>
      </c>
      <c r="H129" s="880">
        <f t="shared" si="9"/>
        <v>0</v>
      </c>
      <c r="I129" s="901">
        <f t="shared" si="3"/>
        <v>0</v>
      </c>
      <c r="J129" s="901"/>
      <c r="K129" s="907"/>
      <c r="L129" s="904">
        <f t="shared" si="4"/>
        <v>0</v>
      </c>
      <c r="M129" s="907"/>
      <c r="N129" s="904">
        <f t="shared" si="5"/>
        <v>0</v>
      </c>
      <c r="O129" s="904">
        <f t="shared" si="6"/>
        <v>0</v>
      </c>
      <c r="P129" s="840"/>
    </row>
    <row r="130" spans="1:16">
      <c r="A130" s="478"/>
      <c r="B130" s="837" t="str">
        <f t="shared" si="10"/>
        <v/>
      </c>
      <c r="C130" s="898" t="str">
        <f>IF(D98="","-",+C129+1)</f>
        <v>-</v>
      </c>
      <c r="D130" s="905">
        <f t="shared" si="7"/>
        <v>0</v>
      </c>
      <c r="E130" s="906">
        <f>IF(+I101&lt;F129,I101,D130)</f>
        <v>0</v>
      </c>
      <c r="F130" s="905">
        <f t="shared" si="2"/>
        <v>0</v>
      </c>
      <c r="G130" s="906">
        <f t="shared" si="8"/>
        <v>0</v>
      </c>
      <c r="H130" s="880">
        <f t="shared" si="9"/>
        <v>0</v>
      </c>
      <c r="I130" s="901">
        <f t="shared" si="3"/>
        <v>0</v>
      </c>
      <c r="J130" s="901"/>
      <c r="K130" s="907"/>
      <c r="L130" s="904">
        <f t="shared" si="4"/>
        <v>0</v>
      </c>
      <c r="M130" s="907"/>
      <c r="N130" s="904">
        <f t="shared" si="5"/>
        <v>0</v>
      </c>
      <c r="O130" s="904">
        <f t="shared" si="6"/>
        <v>0</v>
      </c>
      <c r="P130" s="840"/>
    </row>
    <row r="131" spans="1:16">
      <c r="A131" s="478"/>
      <c r="B131" s="837" t="str">
        <f t="shared" si="10"/>
        <v/>
      </c>
      <c r="C131" s="898" t="str">
        <f>IF(D98="","-",+C130+1)</f>
        <v>-</v>
      </c>
      <c r="D131" s="905">
        <f t="shared" si="7"/>
        <v>0</v>
      </c>
      <c r="E131" s="906">
        <f>IF(+I101&lt;F130,I101,D131)</f>
        <v>0</v>
      </c>
      <c r="F131" s="905">
        <f t="shared" si="2"/>
        <v>0</v>
      </c>
      <c r="G131" s="906">
        <f t="shared" si="8"/>
        <v>0</v>
      </c>
      <c r="H131" s="880">
        <f t="shared" si="9"/>
        <v>0</v>
      </c>
      <c r="I131" s="901">
        <f t="shared" si="3"/>
        <v>0</v>
      </c>
      <c r="J131" s="901"/>
      <c r="K131" s="907"/>
      <c r="L131" s="904">
        <f t="shared" si="4"/>
        <v>0</v>
      </c>
      <c r="M131" s="907"/>
      <c r="N131" s="904">
        <f t="shared" si="5"/>
        <v>0</v>
      </c>
      <c r="O131" s="904">
        <f t="shared" si="6"/>
        <v>0</v>
      </c>
      <c r="P131" s="840"/>
    </row>
    <row r="132" spans="1:16">
      <c r="A132" s="478"/>
      <c r="B132" s="837" t="str">
        <f t="shared" si="10"/>
        <v/>
      </c>
      <c r="C132" s="898" t="str">
        <f>IF(D98="","-",+C131+1)</f>
        <v>-</v>
      </c>
      <c r="D132" s="905">
        <f t="shared" si="7"/>
        <v>0</v>
      </c>
      <c r="E132" s="906">
        <f>IF(+I101&lt;F131,I101,D132)</f>
        <v>0</v>
      </c>
      <c r="F132" s="905">
        <f t="shared" si="2"/>
        <v>0</v>
      </c>
      <c r="G132" s="906">
        <f t="shared" si="8"/>
        <v>0</v>
      </c>
      <c r="H132" s="880">
        <f t="shared" si="9"/>
        <v>0</v>
      </c>
      <c r="I132" s="901">
        <f t="shared" si="3"/>
        <v>0</v>
      </c>
      <c r="J132" s="901"/>
      <c r="K132" s="907"/>
      <c r="L132" s="904">
        <f t="shared" si="4"/>
        <v>0</v>
      </c>
      <c r="M132" s="907"/>
      <c r="N132" s="904">
        <f t="shared" si="5"/>
        <v>0</v>
      </c>
      <c r="O132" s="904">
        <f t="shared" si="6"/>
        <v>0</v>
      </c>
      <c r="P132" s="840"/>
    </row>
    <row r="133" spans="1:16">
      <c r="A133" s="478"/>
      <c r="B133" s="837" t="str">
        <f t="shared" si="10"/>
        <v/>
      </c>
      <c r="C133" s="898" t="str">
        <f>IF(D98="","-",+C132+1)</f>
        <v>-</v>
      </c>
      <c r="D133" s="905">
        <f t="shared" si="7"/>
        <v>0</v>
      </c>
      <c r="E133" s="906">
        <f>IF(+I101&lt;F132,I101,D133)</f>
        <v>0</v>
      </c>
      <c r="F133" s="905">
        <f t="shared" si="2"/>
        <v>0</v>
      </c>
      <c r="G133" s="906">
        <f t="shared" si="8"/>
        <v>0</v>
      </c>
      <c r="H133" s="880">
        <f t="shared" si="9"/>
        <v>0</v>
      </c>
      <c r="I133" s="901">
        <f t="shared" si="3"/>
        <v>0</v>
      </c>
      <c r="J133" s="901"/>
      <c r="K133" s="907"/>
      <c r="L133" s="904">
        <f t="shared" si="4"/>
        <v>0</v>
      </c>
      <c r="M133" s="907"/>
      <c r="N133" s="904">
        <f t="shared" si="5"/>
        <v>0</v>
      </c>
      <c r="O133" s="904">
        <f t="shared" si="6"/>
        <v>0</v>
      </c>
      <c r="P133" s="840"/>
    </row>
    <row r="134" spans="1:16">
      <c r="A134" s="478"/>
      <c r="B134" s="837" t="str">
        <f t="shared" si="10"/>
        <v/>
      </c>
      <c r="C134" s="898" t="str">
        <f>IF(D98="","-",+C133+1)</f>
        <v>-</v>
      </c>
      <c r="D134" s="905">
        <f t="shared" si="7"/>
        <v>0</v>
      </c>
      <c r="E134" s="906">
        <f>IF(+I101&lt;F133,I101,D134)</f>
        <v>0</v>
      </c>
      <c r="F134" s="905">
        <f t="shared" si="2"/>
        <v>0</v>
      </c>
      <c r="G134" s="906">
        <f t="shared" si="8"/>
        <v>0</v>
      </c>
      <c r="H134" s="880">
        <f t="shared" si="9"/>
        <v>0</v>
      </c>
      <c r="I134" s="901">
        <f t="shared" si="3"/>
        <v>0</v>
      </c>
      <c r="J134" s="901"/>
      <c r="K134" s="907"/>
      <c r="L134" s="904">
        <f t="shared" si="4"/>
        <v>0</v>
      </c>
      <c r="M134" s="907"/>
      <c r="N134" s="904">
        <f t="shared" si="5"/>
        <v>0</v>
      </c>
      <c r="O134" s="904">
        <f t="shared" si="6"/>
        <v>0</v>
      </c>
      <c r="P134" s="840"/>
    </row>
    <row r="135" spans="1:16">
      <c r="A135" s="478"/>
      <c r="B135" s="837" t="str">
        <f t="shared" si="10"/>
        <v/>
      </c>
      <c r="C135" s="898" t="str">
        <f>IF(D98="","-",+C134+1)</f>
        <v>-</v>
      </c>
      <c r="D135" s="905">
        <f t="shared" si="7"/>
        <v>0</v>
      </c>
      <c r="E135" s="906">
        <f>IF(+I101&lt;F134,I101,D135)</f>
        <v>0</v>
      </c>
      <c r="F135" s="905">
        <f t="shared" si="2"/>
        <v>0</v>
      </c>
      <c r="G135" s="906">
        <f t="shared" si="8"/>
        <v>0</v>
      </c>
      <c r="H135" s="880">
        <f t="shared" si="9"/>
        <v>0</v>
      </c>
      <c r="I135" s="901">
        <f t="shared" si="3"/>
        <v>0</v>
      </c>
      <c r="J135" s="901"/>
      <c r="K135" s="907"/>
      <c r="L135" s="904">
        <f t="shared" si="4"/>
        <v>0</v>
      </c>
      <c r="M135" s="907"/>
      <c r="N135" s="904">
        <f t="shared" si="5"/>
        <v>0</v>
      </c>
      <c r="O135" s="904">
        <f t="shared" si="6"/>
        <v>0</v>
      </c>
      <c r="P135" s="840"/>
    </row>
    <row r="136" spans="1:16">
      <c r="A136" s="478"/>
      <c r="B136" s="837" t="str">
        <f t="shared" si="10"/>
        <v/>
      </c>
      <c r="C136" s="898" t="str">
        <f>IF(D98="","-",+C135+1)</f>
        <v>-</v>
      </c>
      <c r="D136" s="905">
        <f t="shared" si="7"/>
        <v>0</v>
      </c>
      <c r="E136" s="906">
        <f>IF(+I101&lt;F135,I101,D136)</f>
        <v>0</v>
      </c>
      <c r="F136" s="905">
        <f t="shared" si="2"/>
        <v>0</v>
      </c>
      <c r="G136" s="906">
        <f t="shared" si="8"/>
        <v>0</v>
      </c>
      <c r="H136" s="880">
        <f t="shared" si="9"/>
        <v>0</v>
      </c>
      <c r="I136" s="901">
        <f t="shared" si="3"/>
        <v>0</v>
      </c>
      <c r="J136" s="901"/>
      <c r="K136" s="907"/>
      <c r="L136" s="904">
        <f t="shared" si="4"/>
        <v>0</v>
      </c>
      <c r="M136" s="907"/>
      <c r="N136" s="904">
        <f t="shared" si="5"/>
        <v>0</v>
      </c>
      <c r="O136" s="904">
        <f t="shared" si="6"/>
        <v>0</v>
      </c>
      <c r="P136" s="840"/>
    </row>
    <row r="137" spans="1:16">
      <c r="A137" s="478"/>
      <c r="B137" s="837" t="str">
        <f t="shared" si="10"/>
        <v/>
      </c>
      <c r="C137" s="898" t="str">
        <f>IF(D98="","-",+C136+1)</f>
        <v>-</v>
      </c>
      <c r="D137" s="905">
        <f t="shared" si="7"/>
        <v>0</v>
      </c>
      <c r="E137" s="906">
        <f>IF(+I101&lt;F136,I101,D137)</f>
        <v>0</v>
      </c>
      <c r="F137" s="905">
        <f t="shared" si="2"/>
        <v>0</v>
      </c>
      <c r="G137" s="906">
        <f t="shared" si="8"/>
        <v>0</v>
      </c>
      <c r="H137" s="880">
        <f t="shared" si="9"/>
        <v>0</v>
      </c>
      <c r="I137" s="901">
        <f t="shared" si="3"/>
        <v>0</v>
      </c>
      <c r="J137" s="901"/>
      <c r="K137" s="907"/>
      <c r="L137" s="904">
        <f t="shared" si="4"/>
        <v>0</v>
      </c>
      <c r="M137" s="907"/>
      <c r="N137" s="904">
        <f t="shared" si="5"/>
        <v>0</v>
      </c>
      <c r="O137" s="904">
        <f t="shared" si="6"/>
        <v>0</v>
      </c>
      <c r="P137" s="840"/>
    </row>
    <row r="138" spans="1:16">
      <c r="A138" s="478"/>
      <c r="B138" s="837" t="str">
        <f t="shared" si="10"/>
        <v/>
      </c>
      <c r="C138" s="898" t="str">
        <f>IF(D98="","-",+C137+1)</f>
        <v>-</v>
      </c>
      <c r="D138" s="905">
        <f t="shared" si="7"/>
        <v>0</v>
      </c>
      <c r="E138" s="906">
        <f>IF(+I101&lt;F137,I101,D138)</f>
        <v>0</v>
      </c>
      <c r="F138" s="905">
        <f t="shared" si="2"/>
        <v>0</v>
      </c>
      <c r="G138" s="906">
        <f t="shared" si="8"/>
        <v>0</v>
      </c>
      <c r="H138" s="880">
        <f t="shared" si="9"/>
        <v>0</v>
      </c>
      <c r="I138" s="901">
        <f t="shared" si="3"/>
        <v>0</v>
      </c>
      <c r="J138" s="901"/>
      <c r="K138" s="907"/>
      <c r="L138" s="904">
        <f t="shared" si="4"/>
        <v>0</v>
      </c>
      <c r="M138" s="907"/>
      <c r="N138" s="904">
        <f t="shared" si="5"/>
        <v>0</v>
      </c>
      <c r="O138" s="904">
        <f t="shared" si="6"/>
        <v>0</v>
      </c>
      <c r="P138" s="840"/>
    </row>
    <row r="139" spans="1:16">
      <c r="A139" s="478"/>
      <c r="B139" s="837" t="str">
        <f t="shared" si="10"/>
        <v/>
      </c>
      <c r="C139" s="898" t="str">
        <f>IF(D98="","-",+C138+1)</f>
        <v>-</v>
      </c>
      <c r="D139" s="905">
        <f t="shared" si="7"/>
        <v>0</v>
      </c>
      <c r="E139" s="906">
        <f>IF(+I101&lt;F138,I101,D139)</f>
        <v>0</v>
      </c>
      <c r="F139" s="905">
        <f t="shared" si="2"/>
        <v>0</v>
      </c>
      <c r="G139" s="906">
        <f t="shared" si="8"/>
        <v>0</v>
      </c>
      <c r="H139" s="880">
        <f t="shared" si="9"/>
        <v>0</v>
      </c>
      <c r="I139" s="901">
        <f t="shared" si="3"/>
        <v>0</v>
      </c>
      <c r="J139" s="901"/>
      <c r="K139" s="907"/>
      <c r="L139" s="904">
        <f t="shared" si="4"/>
        <v>0</v>
      </c>
      <c r="M139" s="907"/>
      <c r="N139" s="904">
        <f t="shared" si="5"/>
        <v>0</v>
      </c>
      <c r="O139" s="904">
        <f t="shared" si="6"/>
        <v>0</v>
      </c>
      <c r="P139" s="840"/>
    </row>
    <row r="140" spans="1:16">
      <c r="A140" s="478"/>
      <c r="B140" s="837" t="str">
        <f t="shared" si="10"/>
        <v/>
      </c>
      <c r="C140" s="898" t="str">
        <f>IF(D98="","-",+C139+1)</f>
        <v>-</v>
      </c>
      <c r="D140" s="905">
        <f t="shared" si="7"/>
        <v>0</v>
      </c>
      <c r="E140" s="906">
        <f>IF(+I101&lt;F139,I101,D140)</f>
        <v>0</v>
      </c>
      <c r="F140" s="905">
        <f t="shared" si="2"/>
        <v>0</v>
      </c>
      <c r="G140" s="906">
        <f t="shared" si="8"/>
        <v>0</v>
      </c>
      <c r="H140" s="880">
        <f t="shared" si="9"/>
        <v>0</v>
      </c>
      <c r="I140" s="901">
        <f t="shared" si="3"/>
        <v>0</v>
      </c>
      <c r="J140" s="901"/>
      <c r="K140" s="907"/>
      <c r="L140" s="904">
        <f t="shared" si="4"/>
        <v>0</v>
      </c>
      <c r="M140" s="907"/>
      <c r="N140" s="904">
        <f t="shared" si="5"/>
        <v>0</v>
      </c>
      <c r="O140" s="904">
        <f t="shared" si="6"/>
        <v>0</v>
      </c>
      <c r="P140" s="840"/>
    </row>
    <row r="141" spans="1:16">
      <c r="A141" s="478"/>
      <c r="B141" s="837" t="str">
        <f t="shared" si="10"/>
        <v/>
      </c>
      <c r="C141" s="898" t="str">
        <f>IF(D98="","-",+C140+1)</f>
        <v>-</v>
      </c>
      <c r="D141" s="905">
        <f t="shared" si="7"/>
        <v>0</v>
      </c>
      <c r="E141" s="906">
        <f>IF(+I101&lt;F140,I101,D141)</f>
        <v>0</v>
      </c>
      <c r="F141" s="905">
        <f t="shared" si="2"/>
        <v>0</v>
      </c>
      <c r="G141" s="906">
        <f t="shared" si="8"/>
        <v>0</v>
      </c>
      <c r="H141" s="880">
        <f t="shared" si="9"/>
        <v>0</v>
      </c>
      <c r="I141" s="901">
        <f t="shared" si="3"/>
        <v>0</v>
      </c>
      <c r="J141" s="901"/>
      <c r="K141" s="907"/>
      <c r="L141" s="904">
        <f t="shared" si="4"/>
        <v>0</v>
      </c>
      <c r="M141" s="907"/>
      <c r="N141" s="904">
        <f t="shared" si="5"/>
        <v>0</v>
      </c>
      <c r="O141" s="904">
        <f t="shared" si="6"/>
        <v>0</v>
      </c>
      <c r="P141" s="840"/>
    </row>
    <row r="142" spans="1:16">
      <c r="A142" s="478"/>
      <c r="B142" s="837" t="str">
        <f t="shared" si="10"/>
        <v/>
      </c>
      <c r="C142" s="898" t="str">
        <f>IF(D98="","-",+C141+1)</f>
        <v>-</v>
      </c>
      <c r="D142" s="905">
        <f t="shared" si="7"/>
        <v>0</v>
      </c>
      <c r="E142" s="906">
        <f>IF(+I101&lt;F141,I101,D142)</f>
        <v>0</v>
      </c>
      <c r="F142" s="905">
        <f t="shared" si="2"/>
        <v>0</v>
      </c>
      <c r="G142" s="906">
        <f t="shared" si="8"/>
        <v>0</v>
      </c>
      <c r="H142" s="880">
        <f t="shared" si="9"/>
        <v>0</v>
      </c>
      <c r="I142" s="901">
        <f t="shared" si="3"/>
        <v>0</v>
      </c>
      <c r="J142" s="901"/>
      <c r="K142" s="907"/>
      <c r="L142" s="904">
        <f t="shared" si="4"/>
        <v>0</v>
      </c>
      <c r="M142" s="907"/>
      <c r="N142" s="904">
        <f t="shared" si="5"/>
        <v>0</v>
      </c>
      <c r="O142" s="904">
        <f t="shared" si="6"/>
        <v>0</v>
      </c>
      <c r="P142" s="840"/>
    </row>
    <row r="143" spans="1:16">
      <c r="A143" s="478"/>
      <c r="B143" s="837" t="str">
        <f t="shared" si="10"/>
        <v/>
      </c>
      <c r="C143" s="898" t="str">
        <f>IF(D98="","-",+C142+1)</f>
        <v>-</v>
      </c>
      <c r="D143" s="905">
        <f t="shared" si="7"/>
        <v>0</v>
      </c>
      <c r="E143" s="906">
        <f>IF(+I101&lt;F142,I101,D143)</f>
        <v>0</v>
      </c>
      <c r="F143" s="905">
        <f t="shared" si="2"/>
        <v>0</v>
      </c>
      <c r="G143" s="906">
        <f t="shared" si="8"/>
        <v>0</v>
      </c>
      <c r="H143" s="880">
        <f t="shared" si="9"/>
        <v>0</v>
      </c>
      <c r="I143" s="901">
        <f t="shared" si="3"/>
        <v>0</v>
      </c>
      <c r="J143" s="901"/>
      <c r="K143" s="907"/>
      <c r="L143" s="904">
        <f t="shared" si="4"/>
        <v>0</v>
      </c>
      <c r="M143" s="907"/>
      <c r="N143" s="904">
        <f t="shared" si="5"/>
        <v>0</v>
      </c>
      <c r="O143" s="904">
        <f t="shared" si="6"/>
        <v>0</v>
      </c>
      <c r="P143" s="840"/>
    </row>
    <row r="144" spans="1:16">
      <c r="A144" s="478"/>
      <c r="B144" s="837" t="str">
        <f t="shared" si="10"/>
        <v/>
      </c>
      <c r="C144" s="898" t="str">
        <f>IF(D98="","-",+C143+1)</f>
        <v>-</v>
      </c>
      <c r="D144" s="905">
        <f t="shared" si="7"/>
        <v>0</v>
      </c>
      <c r="E144" s="906">
        <f>IF(+I101&lt;F143,I101,D144)</f>
        <v>0</v>
      </c>
      <c r="F144" s="905">
        <f t="shared" si="2"/>
        <v>0</v>
      </c>
      <c r="G144" s="906">
        <f t="shared" si="8"/>
        <v>0</v>
      </c>
      <c r="H144" s="880">
        <f t="shared" si="9"/>
        <v>0</v>
      </c>
      <c r="I144" s="901">
        <f t="shared" si="3"/>
        <v>0</v>
      </c>
      <c r="J144" s="901"/>
      <c r="K144" s="907"/>
      <c r="L144" s="904">
        <f t="shared" si="4"/>
        <v>0</v>
      </c>
      <c r="M144" s="907"/>
      <c r="N144" s="904">
        <f t="shared" si="5"/>
        <v>0</v>
      </c>
      <c r="O144" s="904">
        <f t="shared" si="6"/>
        <v>0</v>
      </c>
      <c r="P144" s="840"/>
    </row>
    <row r="145" spans="1:16">
      <c r="A145" s="478"/>
      <c r="B145" s="837" t="str">
        <f t="shared" si="10"/>
        <v/>
      </c>
      <c r="C145" s="898" t="str">
        <f>IF(D98="","-",+C144+1)</f>
        <v>-</v>
      </c>
      <c r="D145" s="905">
        <f t="shared" si="7"/>
        <v>0</v>
      </c>
      <c r="E145" s="906">
        <f>IF(+I101&lt;F144,I101,D145)</f>
        <v>0</v>
      </c>
      <c r="F145" s="905">
        <f t="shared" si="2"/>
        <v>0</v>
      </c>
      <c r="G145" s="906">
        <f t="shared" si="8"/>
        <v>0</v>
      </c>
      <c r="H145" s="880">
        <f t="shared" si="9"/>
        <v>0</v>
      </c>
      <c r="I145" s="901">
        <f t="shared" si="3"/>
        <v>0</v>
      </c>
      <c r="J145" s="901"/>
      <c r="K145" s="907"/>
      <c r="L145" s="904">
        <f t="shared" si="4"/>
        <v>0</v>
      </c>
      <c r="M145" s="907"/>
      <c r="N145" s="904">
        <f t="shared" si="5"/>
        <v>0</v>
      </c>
      <c r="O145" s="904">
        <f t="shared" si="6"/>
        <v>0</v>
      </c>
      <c r="P145" s="840"/>
    </row>
    <row r="146" spans="1:16">
      <c r="A146" s="478"/>
      <c r="B146" s="837" t="str">
        <f t="shared" si="10"/>
        <v/>
      </c>
      <c r="C146" s="898" t="str">
        <f>IF(D98="","-",+C145+1)</f>
        <v>-</v>
      </c>
      <c r="D146" s="905">
        <f t="shared" si="7"/>
        <v>0</v>
      </c>
      <c r="E146" s="906">
        <f>IF(+I101&lt;F145,I101,D146)</f>
        <v>0</v>
      </c>
      <c r="F146" s="905">
        <f t="shared" si="2"/>
        <v>0</v>
      </c>
      <c r="G146" s="906">
        <f t="shared" si="8"/>
        <v>0</v>
      </c>
      <c r="H146" s="880">
        <f t="shared" si="9"/>
        <v>0</v>
      </c>
      <c r="I146" s="901">
        <f t="shared" si="3"/>
        <v>0</v>
      </c>
      <c r="J146" s="901"/>
      <c r="K146" s="907"/>
      <c r="L146" s="904">
        <f t="shared" si="4"/>
        <v>0</v>
      </c>
      <c r="M146" s="907"/>
      <c r="N146" s="904">
        <f t="shared" si="5"/>
        <v>0</v>
      </c>
      <c r="O146" s="904">
        <f t="shared" si="6"/>
        <v>0</v>
      </c>
      <c r="P146" s="840"/>
    </row>
    <row r="147" spans="1:16">
      <c r="A147" s="478"/>
      <c r="B147" s="837" t="str">
        <f t="shared" si="10"/>
        <v/>
      </c>
      <c r="C147" s="898" t="str">
        <f>IF(D98="","-",+C146+1)</f>
        <v>-</v>
      </c>
      <c r="D147" s="905">
        <f t="shared" si="7"/>
        <v>0</v>
      </c>
      <c r="E147" s="906">
        <f>IF(+I101&lt;F146,I101,D147)</f>
        <v>0</v>
      </c>
      <c r="F147" s="905">
        <f t="shared" si="2"/>
        <v>0</v>
      </c>
      <c r="G147" s="906">
        <f t="shared" si="8"/>
        <v>0</v>
      </c>
      <c r="H147" s="880">
        <f t="shared" si="9"/>
        <v>0</v>
      </c>
      <c r="I147" s="901">
        <f t="shared" si="3"/>
        <v>0</v>
      </c>
      <c r="J147" s="901"/>
      <c r="K147" s="907"/>
      <c r="L147" s="904">
        <f t="shared" si="4"/>
        <v>0</v>
      </c>
      <c r="M147" s="907"/>
      <c r="N147" s="904">
        <f t="shared" si="5"/>
        <v>0</v>
      </c>
      <c r="O147" s="904">
        <f t="shared" si="6"/>
        <v>0</v>
      </c>
      <c r="P147" s="840"/>
    </row>
    <row r="148" spans="1:16">
      <c r="A148" s="478"/>
      <c r="B148" s="837" t="str">
        <f t="shared" si="10"/>
        <v/>
      </c>
      <c r="C148" s="898" t="str">
        <f>IF(D98="","-",+C147+1)</f>
        <v>-</v>
      </c>
      <c r="D148" s="905">
        <f t="shared" si="7"/>
        <v>0</v>
      </c>
      <c r="E148" s="906">
        <f>IF(+I101&lt;F147,I101,D148)</f>
        <v>0</v>
      </c>
      <c r="F148" s="905">
        <f t="shared" si="2"/>
        <v>0</v>
      </c>
      <c r="G148" s="909">
        <f t="shared" si="8"/>
        <v>0</v>
      </c>
      <c r="H148" s="880">
        <f t="shared" si="9"/>
        <v>0</v>
      </c>
      <c r="I148" s="901">
        <f t="shared" si="3"/>
        <v>0</v>
      </c>
      <c r="J148" s="901"/>
      <c r="K148" s="907"/>
      <c r="L148" s="904">
        <f t="shared" si="4"/>
        <v>0</v>
      </c>
      <c r="M148" s="907"/>
      <c r="N148" s="904">
        <f t="shared" si="5"/>
        <v>0</v>
      </c>
      <c r="O148" s="904">
        <f t="shared" si="6"/>
        <v>0</v>
      </c>
      <c r="P148" s="840"/>
    </row>
    <row r="149" spans="1:16">
      <c r="A149" s="478"/>
      <c r="B149" s="837" t="str">
        <f t="shared" si="10"/>
        <v/>
      </c>
      <c r="C149" s="898" t="str">
        <f>IF(D98="","-",+C148+1)</f>
        <v>-</v>
      </c>
      <c r="D149" s="905">
        <f t="shared" si="7"/>
        <v>0</v>
      </c>
      <c r="E149" s="906">
        <f>IF(+I101&lt;F148,I101,D149)</f>
        <v>0</v>
      </c>
      <c r="F149" s="905">
        <f t="shared" si="2"/>
        <v>0</v>
      </c>
      <c r="G149" s="909">
        <f t="shared" si="8"/>
        <v>0</v>
      </c>
      <c r="H149" s="880">
        <f t="shared" si="9"/>
        <v>0</v>
      </c>
      <c r="I149" s="901">
        <f t="shared" si="3"/>
        <v>0</v>
      </c>
      <c r="J149" s="901"/>
      <c r="K149" s="907"/>
      <c r="L149" s="904">
        <f t="shared" si="4"/>
        <v>0</v>
      </c>
      <c r="M149" s="907"/>
      <c r="N149" s="904">
        <f t="shared" si="5"/>
        <v>0</v>
      </c>
      <c r="O149" s="904">
        <f t="shared" si="6"/>
        <v>0</v>
      </c>
      <c r="P149" s="840"/>
    </row>
    <row r="150" spans="1:16">
      <c r="A150" s="478"/>
      <c r="B150" s="837" t="str">
        <f t="shared" si="10"/>
        <v/>
      </c>
      <c r="C150" s="898" t="str">
        <f>IF(D98="","-",+C149+1)</f>
        <v>-</v>
      </c>
      <c r="D150" s="905">
        <f t="shared" si="7"/>
        <v>0</v>
      </c>
      <c r="E150" s="906">
        <f>IF(+I101&lt;F149,I101,D150)</f>
        <v>0</v>
      </c>
      <c r="F150" s="905">
        <f t="shared" si="2"/>
        <v>0</v>
      </c>
      <c r="G150" s="909">
        <f t="shared" si="8"/>
        <v>0</v>
      </c>
      <c r="H150" s="880">
        <f t="shared" si="9"/>
        <v>0</v>
      </c>
      <c r="I150" s="901">
        <f t="shared" si="3"/>
        <v>0</v>
      </c>
      <c r="J150" s="901"/>
      <c r="K150" s="907"/>
      <c r="L150" s="904">
        <f t="shared" si="4"/>
        <v>0</v>
      </c>
      <c r="M150" s="907"/>
      <c r="N150" s="904">
        <f t="shared" si="5"/>
        <v>0</v>
      </c>
      <c r="O150" s="904">
        <f t="shared" si="6"/>
        <v>0</v>
      </c>
      <c r="P150" s="840"/>
    </row>
    <row r="151" spans="1:16">
      <c r="A151" s="478"/>
      <c r="B151" s="837" t="str">
        <f t="shared" si="10"/>
        <v/>
      </c>
      <c r="C151" s="898" t="str">
        <f>IF(D98="","-",+C150+1)</f>
        <v>-</v>
      </c>
      <c r="D151" s="905">
        <f t="shared" si="7"/>
        <v>0</v>
      </c>
      <c r="E151" s="906">
        <f>IF(+I101&lt;F150,I101,D151)</f>
        <v>0</v>
      </c>
      <c r="F151" s="905">
        <f t="shared" si="2"/>
        <v>0</v>
      </c>
      <c r="G151" s="909">
        <f t="shared" si="8"/>
        <v>0</v>
      </c>
      <c r="H151" s="880">
        <f t="shared" si="9"/>
        <v>0</v>
      </c>
      <c r="I151" s="901">
        <f t="shared" si="3"/>
        <v>0</v>
      </c>
      <c r="J151" s="901"/>
      <c r="K151" s="907"/>
      <c r="L151" s="904">
        <f t="shared" si="4"/>
        <v>0</v>
      </c>
      <c r="M151" s="907"/>
      <c r="N151" s="904">
        <f t="shared" si="5"/>
        <v>0</v>
      </c>
      <c r="O151" s="904">
        <f t="shared" si="6"/>
        <v>0</v>
      </c>
      <c r="P151" s="840"/>
    </row>
    <row r="152" spans="1:16">
      <c r="A152" s="478"/>
      <c r="B152" s="837" t="str">
        <f t="shared" si="10"/>
        <v/>
      </c>
      <c r="C152" s="898" t="str">
        <f>IF(D98="","-",+C151+1)</f>
        <v>-</v>
      </c>
      <c r="D152" s="905">
        <f t="shared" si="7"/>
        <v>0</v>
      </c>
      <c r="E152" s="906">
        <f>IF(+I101&lt;F151,I101,D152)</f>
        <v>0</v>
      </c>
      <c r="F152" s="905">
        <f t="shared" si="2"/>
        <v>0</v>
      </c>
      <c r="G152" s="909">
        <f t="shared" si="8"/>
        <v>0</v>
      </c>
      <c r="H152" s="880">
        <f t="shared" si="9"/>
        <v>0</v>
      </c>
      <c r="I152" s="901">
        <f t="shared" si="3"/>
        <v>0</v>
      </c>
      <c r="J152" s="901"/>
      <c r="K152" s="907"/>
      <c r="L152" s="904">
        <f t="shared" si="4"/>
        <v>0</v>
      </c>
      <c r="M152" s="907"/>
      <c r="N152" s="904">
        <f t="shared" si="5"/>
        <v>0</v>
      </c>
      <c r="O152" s="904">
        <f t="shared" si="6"/>
        <v>0</v>
      </c>
      <c r="P152" s="840"/>
    </row>
    <row r="153" spans="1:16">
      <c r="A153" s="478"/>
      <c r="B153" s="837" t="str">
        <f t="shared" si="10"/>
        <v/>
      </c>
      <c r="C153" s="898" t="str">
        <f>IF(D98="","-",+C152+1)</f>
        <v>-</v>
      </c>
      <c r="D153" s="905">
        <f t="shared" si="7"/>
        <v>0</v>
      </c>
      <c r="E153" s="906">
        <f>IF(+I101&lt;F152,I101,D153)</f>
        <v>0</v>
      </c>
      <c r="F153" s="905">
        <f t="shared" si="2"/>
        <v>0</v>
      </c>
      <c r="G153" s="909">
        <f t="shared" si="8"/>
        <v>0</v>
      </c>
      <c r="H153" s="880">
        <f t="shared" si="9"/>
        <v>0</v>
      </c>
      <c r="I153" s="901">
        <f t="shared" si="3"/>
        <v>0</v>
      </c>
      <c r="J153" s="901"/>
      <c r="K153" s="907"/>
      <c r="L153" s="904">
        <f t="shared" si="4"/>
        <v>0</v>
      </c>
      <c r="M153" s="907"/>
      <c r="N153" s="904">
        <f t="shared" si="5"/>
        <v>0</v>
      </c>
      <c r="O153" s="904">
        <f t="shared" si="6"/>
        <v>0</v>
      </c>
      <c r="P153" s="840"/>
    </row>
    <row r="154" spans="1:16">
      <c r="A154" s="478"/>
      <c r="B154" s="837" t="str">
        <f t="shared" si="10"/>
        <v/>
      </c>
      <c r="C154" s="898" t="str">
        <f>IF(D98="","-",+C153+1)</f>
        <v>-</v>
      </c>
      <c r="D154" s="905">
        <f t="shared" si="7"/>
        <v>0</v>
      </c>
      <c r="E154" s="906">
        <f>IF(+I101&lt;F153,I101,D154)</f>
        <v>0</v>
      </c>
      <c r="F154" s="905">
        <f t="shared" si="2"/>
        <v>0</v>
      </c>
      <c r="G154" s="909">
        <f t="shared" si="8"/>
        <v>0</v>
      </c>
      <c r="H154" s="880">
        <f t="shared" si="9"/>
        <v>0</v>
      </c>
      <c r="I154" s="901">
        <f t="shared" si="3"/>
        <v>0</v>
      </c>
      <c r="J154" s="901"/>
      <c r="K154" s="907"/>
      <c r="L154" s="904">
        <f t="shared" si="4"/>
        <v>0</v>
      </c>
      <c r="M154" s="907"/>
      <c r="N154" s="904">
        <f t="shared" si="5"/>
        <v>0</v>
      </c>
      <c r="O154" s="904">
        <f t="shared" si="6"/>
        <v>0</v>
      </c>
      <c r="P154" s="840"/>
    </row>
    <row r="155" spans="1:16">
      <c r="A155" s="478"/>
      <c r="B155" s="837" t="str">
        <f t="shared" si="10"/>
        <v/>
      </c>
      <c r="C155" s="898" t="str">
        <f>IF(D98="","-",+C154+1)</f>
        <v>-</v>
      </c>
      <c r="D155" s="905">
        <f t="shared" si="7"/>
        <v>0</v>
      </c>
      <c r="E155" s="906">
        <f>IF(+I101&lt;F154,I101,D155)</f>
        <v>0</v>
      </c>
      <c r="F155" s="905">
        <f t="shared" si="2"/>
        <v>0</v>
      </c>
      <c r="G155" s="909">
        <f t="shared" si="8"/>
        <v>0</v>
      </c>
      <c r="H155" s="880">
        <f t="shared" si="9"/>
        <v>0</v>
      </c>
      <c r="I155" s="901">
        <f t="shared" si="3"/>
        <v>0</v>
      </c>
      <c r="J155" s="901"/>
      <c r="K155" s="907"/>
      <c r="L155" s="904">
        <f t="shared" si="4"/>
        <v>0</v>
      </c>
      <c r="M155" s="907"/>
      <c r="N155" s="904">
        <f t="shared" si="5"/>
        <v>0</v>
      </c>
      <c r="O155" s="904">
        <f t="shared" si="6"/>
        <v>0</v>
      </c>
      <c r="P155" s="840"/>
    </row>
    <row r="156" spans="1:16">
      <c r="A156" s="478"/>
      <c r="B156" s="837" t="str">
        <f t="shared" si="10"/>
        <v/>
      </c>
      <c r="C156" s="898" t="str">
        <f>IF(D98="","-",+C155+1)</f>
        <v>-</v>
      </c>
      <c r="D156" s="905">
        <f t="shared" si="7"/>
        <v>0</v>
      </c>
      <c r="E156" s="906">
        <f>IF(+I101&lt;F155,I101,D156)</f>
        <v>0</v>
      </c>
      <c r="F156" s="905">
        <f t="shared" si="2"/>
        <v>0</v>
      </c>
      <c r="G156" s="909">
        <f t="shared" si="8"/>
        <v>0</v>
      </c>
      <c r="H156" s="880">
        <f t="shared" si="9"/>
        <v>0</v>
      </c>
      <c r="I156" s="901">
        <f t="shared" si="3"/>
        <v>0</v>
      </c>
      <c r="J156" s="901"/>
      <c r="K156" s="907"/>
      <c r="L156" s="904">
        <f t="shared" si="4"/>
        <v>0</v>
      </c>
      <c r="M156" s="907"/>
      <c r="N156" s="904">
        <f t="shared" si="5"/>
        <v>0</v>
      </c>
      <c r="O156" s="904">
        <f t="shared" si="6"/>
        <v>0</v>
      </c>
      <c r="P156" s="840"/>
    </row>
    <row r="157" spans="1:16">
      <c r="A157" s="478"/>
      <c r="B157" s="837" t="str">
        <f t="shared" si="10"/>
        <v/>
      </c>
      <c r="C157" s="898" t="str">
        <f>IF(D98="","-",+C156+1)</f>
        <v>-</v>
      </c>
      <c r="D157" s="905">
        <f t="shared" si="7"/>
        <v>0</v>
      </c>
      <c r="E157" s="906">
        <f>IF(+I101&lt;F156,I101,D157)</f>
        <v>0</v>
      </c>
      <c r="F157" s="905">
        <f t="shared" si="2"/>
        <v>0</v>
      </c>
      <c r="G157" s="909">
        <f t="shared" si="8"/>
        <v>0</v>
      </c>
      <c r="H157" s="880">
        <f t="shared" si="9"/>
        <v>0</v>
      </c>
      <c r="I157" s="901">
        <f t="shared" si="3"/>
        <v>0</v>
      </c>
      <c r="J157" s="901"/>
      <c r="K157" s="907"/>
      <c r="L157" s="904">
        <f t="shared" si="4"/>
        <v>0</v>
      </c>
      <c r="M157" s="907"/>
      <c r="N157" s="904">
        <f t="shared" si="5"/>
        <v>0</v>
      </c>
      <c r="O157" s="904">
        <f t="shared" si="6"/>
        <v>0</v>
      </c>
      <c r="P157" s="840"/>
    </row>
    <row r="158" spans="1:16">
      <c r="A158" s="478"/>
      <c r="B158" s="837" t="str">
        <f t="shared" si="10"/>
        <v/>
      </c>
      <c r="C158" s="898" t="str">
        <f>IF(D98="","-",+C157+1)</f>
        <v>-</v>
      </c>
      <c r="D158" s="905">
        <f t="shared" si="7"/>
        <v>0</v>
      </c>
      <c r="E158" s="906">
        <f>IF(+I101&lt;F157,I101,D158)</f>
        <v>0</v>
      </c>
      <c r="F158" s="905">
        <f t="shared" si="2"/>
        <v>0</v>
      </c>
      <c r="G158" s="909">
        <f t="shared" si="8"/>
        <v>0</v>
      </c>
      <c r="H158" s="880">
        <f t="shared" si="9"/>
        <v>0</v>
      </c>
      <c r="I158" s="901">
        <f t="shared" si="3"/>
        <v>0</v>
      </c>
      <c r="J158" s="901"/>
      <c r="K158" s="907"/>
      <c r="L158" s="904">
        <f t="shared" si="4"/>
        <v>0</v>
      </c>
      <c r="M158" s="907"/>
      <c r="N158" s="904">
        <f t="shared" si="5"/>
        <v>0</v>
      </c>
      <c r="O158" s="904">
        <f t="shared" si="6"/>
        <v>0</v>
      </c>
      <c r="P158" s="840"/>
    </row>
    <row r="159" spans="1:16" ht="13.5" thickBot="1">
      <c r="A159" s="478"/>
      <c r="B159" s="837" t="str">
        <f t="shared" si="10"/>
        <v/>
      </c>
      <c r="C159" s="910" t="str">
        <f>IF(D98="","-",+C158+1)</f>
        <v>-</v>
      </c>
      <c r="D159" s="911">
        <f t="shared" si="7"/>
        <v>0</v>
      </c>
      <c r="E159" s="912">
        <f>IF(+I101&lt;F158,I101,D159)</f>
        <v>0</v>
      </c>
      <c r="F159" s="911">
        <f t="shared" si="2"/>
        <v>0</v>
      </c>
      <c r="G159" s="913">
        <f t="shared" si="8"/>
        <v>0</v>
      </c>
      <c r="H159" s="862">
        <f t="shared" si="9"/>
        <v>0</v>
      </c>
      <c r="I159" s="914">
        <f t="shared" si="3"/>
        <v>0</v>
      </c>
      <c r="J159" s="901"/>
      <c r="K159" s="915"/>
      <c r="L159" s="916">
        <f t="shared" si="4"/>
        <v>0</v>
      </c>
      <c r="M159" s="915"/>
      <c r="N159" s="916">
        <f t="shared" si="5"/>
        <v>0</v>
      </c>
      <c r="O159" s="916">
        <f t="shared" si="6"/>
        <v>0</v>
      </c>
      <c r="P159" s="840"/>
    </row>
    <row r="160" spans="1:16">
      <c r="A160" s="478"/>
      <c r="B160" s="478"/>
      <c r="C160" s="899" t="s">
        <v>473</v>
      </c>
      <c r="D160" s="844"/>
      <c r="E160" s="844">
        <f>SUM(E104:E159)</f>
        <v>0</v>
      </c>
      <c r="F160" s="844"/>
      <c r="G160" s="844">
        <f>SUM(G104:G159)</f>
        <v>0</v>
      </c>
      <c r="H160" s="844">
        <f>SUM(H104:H159)</f>
        <v>0</v>
      </c>
      <c r="I160" s="844">
        <f>SUM(I104:I159)</f>
        <v>0</v>
      </c>
      <c r="J160" s="844"/>
      <c r="K160" s="844"/>
      <c r="L160" s="844"/>
      <c r="M160" s="844"/>
      <c r="N160" s="844"/>
      <c r="O160" s="840"/>
      <c r="P160" s="840"/>
    </row>
    <row r="161" spans="1:16">
      <c r="A161" s="478"/>
      <c r="B161" s="478"/>
      <c r="C161" s="478"/>
      <c r="D161" s="837"/>
      <c r="E161" s="478"/>
      <c r="F161" s="478"/>
      <c r="G161" s="478"/>
      <c r="H161" s="839"/>
      <c r="I161" s="839"/>
      <c r="J161" s="844"/>
      <c r="K161" s="839"/>
      <c r="L161" s="839"/>
      <c r="M161" s="839"/>
      <c r="N161" s="839"/>
      <c r="O161" s="478"/>
      <c r="P161" s="478"/>
    </row>
    <row r="162" spans="1:16">
      <c r="A162" s="478"/>
      <c r="B162" s="478"/>
      <c r="C162" s="572" t="s">
        <v>632</v>
      </c>
      <c r="D162" s="837"/>
      <c r="E162" s="478"/>
      <c r="F162" s="478"/>
      <c r="G162" s="478"/>
      <c r="H162" s="839"/>
      <c r="I162" s="839"/>
      <c r="J162" s="844"/>
      <c r="K162" s="839"/>
      <c r="L162" s="839"/>
      <c r="M162" s="839"/>
      <c r="N162" s="839"/>
      <c r="O162" s="478"/>
      <c r="P162" s="478"/>
    </row>
    <row r="163" spans="1:16">
      <c r="A163" s="478"/>
      <c r="B163" s="478"/>
      <c r="C163" s="572" t="s">
        <v>474</v>
      </c>
      <c r="D163" s="837"/>
      <c r="E163" s="478"/>
      <c r="F163" s="478"/>
      <c r="G163" s="478"/>
      <c r="H163" s="839"/>
      <c r="I163" s="839"/>
      <c r="J163" s="844"/>
      <c r="K163" s="839"/>
      <c r="L163" s="839"/>
      <c r="M163" s="839"/>
      <c r="N163" s="839"/>
      <c r="O163" s="840"/>
      <c r="P163" s="840"/>
    </row>
    <row r="164" spans="1:16">
      <c r="A164" s="478"/>
      <c r="B164" s="478"/>
      <c r="C164" s="572" t="s">
        <v>475</v>
      </c>
      <c r="D164" s="899"/>
      <c r="E164" s="899"/>
      <c r="F164" s="899"/>
      <c r="G164" s="844"/>
      <c r="H164" s="844"/>
      <c r="I164" s="917"/>
      <c r="J164" s="917"/>
      <c r="K164" s="917"/>
      <c r="L164" s="917"/>
      <c r="M164" s="917"/>
      <c r="N164" s="917"/>
      <c r="O164" s="840"/>
      <c r="P164" s="840"/>
    </row>
    <row r="165" spans="1:16">
      <c r="A165" s="478"/>
      <c r="B165" s="478"/>
      <c r="C165" s="572"/>
      <c r="D165" s="899"/>
      <c r="E165" s="899"/>
      <c r="F165" s="899"/>
      <c r="G165" s="844"/>
      <c r="H165" s="844"/>
      <c r="I165" s="917"/>
      <c r="J165" s="917"/>
      <c r="K165" s="917"/>
      <c r="L165" s="917"/>
      <c r="M165" s="917"/>
      <c r="N165" s="917"/>
      <c r="O165" s="840"/>
      <c r="P165" s="478"/>
    </row>
    <row r="166" spans="1:16">
      <c r="A166" s="478"/>
      <c r="B166" s="478"/>
      <c r="C166" s="589"/>
      <c r="D166" s="837"/>
      <c r="E166" s="478"/>
      <c r="F166" s="918"/>
      <c r="G166" s="478"/>
      <c r="H166" s="839"/>
      <c r="I166" s="478"/>
      <c r="J166" s="840"/>
      <c r="K166" s="478"/>
      <c r="L166" s="478"/>
      <c r="M166" s="478"/>
      <c r="N166" s="478"/>
      <c r="O166" s="478"/>
      <c r="P166" s="478"/>
    </row>
    <row r="167" spans="1:16" ht="18">
      <c r="A167" s="478"/>
      <c r="B167" s="478"/>
      <c r="C167" s="919"/>
      <c r="D167" s="837"/>
      <c r="E167" s="478"/>
      <c r="F167" s="918"/>
      <c r="G167" s="478"/>
      <c r="H167" s="839"/>
      <c r="I167" s="478"/>
      <c r="J167" s="840"/>
      <c r="K167" s="478"/>
      <c r="L167" s="478"/>
      <c r="M167" s="478"/>
      <c r="N167" s="478"/>
      <c r="O167" s="478"/>
      <c r="P167" s="920"/>
    </row>
    <row r="168" spans="1:16">
      <c r="P168" s="493"/>
    </row>
    <row r="169" spans="1:16">
      <c r="P169" s="493"/>
    </row>
    <row r="170" spans="1:16">
      <c r="P170" s="493"/>
    </row>
    <row r="171" spans="1:16">
      <c r="P171" s="493"/>
    </row>
  </sheetData>
  <mergeCells count="8">
    <mergeCell ref="J7:N9"/>
    <mergeCell ref="J10:N10"/>
    <mergeCell ref="J12:N14"/>
    <mergeCell ref="A2:I2"/>
    <mergeCell ref="A3:I3"/>
    <mergeCell ref="A4:I4"/>
    <mergeCell ref="A5:I5"/>
    <mergeCell ref="C7:I7"/>
  </mergeCells>
  <conditionalFormatting sqref="C104:C159">
    <cfRule type="cellIs" dxfId="7"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66"/>
  <sheetViews>
    <sheetView topLeftCell="G10" zoomScale="81" zoomScaleNormal="81" zoomScaleSheetLayoutView="75" zoomScalePageLayoutView="50" workbookViewId="0"/>
  </sheetViews>
  <sheetFormatPr defaultColWidth="8.7109375" defaultRowHeight="12.75"/>
  <cols>
    <col min="1" max="1" width="9.28515625" style="493" customWidth="1"/>
    <col min="2" max="2" width="6.7109375" style="493" customWidth="1"/>
    <col min="3" max="3" width="26.5703125" style="493" customWidth="1"/>
    <col min="4" max="4" width="17.7109375" style="546" customWidth="1"/>
    <col min="5" max="5" width="21.7109375" style="493" customWidth="1"/>
    <col min="6" max="8" width="17.7109375" style="493" customWidth="1"/>
    <col min="9" max="9" width="19.5703125" style="549" customWidth="1"/>
    <col min="10" max="10" width="20.28515625" style="549" customWidth="1"/>
    <col min="11" max="11" width="13.5703125" style="549" customWidth="1"/>
    <col min="12" max="13" width="17.7109375" style="493" customWidth="1"/>
    <col min="14" max="14" width="19.28515625" style="493" customWidth="1"/>
    <col min="15" max="15" width="18.42578125" style="493" customWidth="1"/>
    <col min="16" max="16" width="19.5703125" style="493" customWidth="1"/>
    <col min="17" max="17" width="2.28515625" style="589" customWidth="1"/>
    <col min="18" max="18" width="16.42578125" style="589" customWidth="1"/>
    <col min="19" max="19" width="57.7109375" style="493" bestFit="1" customWidth="1"/>
    <col min="20" max="20" width="17.28515625" style="493" customWidth="1"/>
    <col min="21" max="16384" width="8.7109375" style="493"/>
  </cols>
  <sheetData>
    <row r="1" spans="1:21" ht="15">
      <c r="A1" s="547"/>
    </row>
    <row r="2" spans="1:21" ht="18">
      <c r="A2" s="2198" t="str">
        <f>'OKT TCOS'!F4</f>
        <v xml:space="preserve">AEP West SPP Member Transmission Companies </v>
      </c>
      <c r="B2" s="2198"/>
      <c r="C2" s="2198"/>
      <c r="D2" s="2198"/>
      <c r="E2" s="2198"/>
      <c r="F2" s="2198"/>
      <c r="G2" s="2198"/>
      <c r="H2" s="2198"/>
      <c r="I2" s="2198"/>
      <c r="J2" s="921"/>
      <c r="K2" s="921"/>
    </row>
    <row r="3" spans="1:21" ht="18">
      <c r="A3" s="2207" t="str">
        <f>+'OKT WS A-1 - Plant'!A3</f>
        <v xml:space="preserve">Actual / Projected 2022 Rate Year Cost of Service Formula Rate </v>
      </c>
      <c r="B3" s="2198"/>
      <c r="C3" s="2198"/>
      <c r="D3" s="2198"/>
      <c r="E3" s="2198"/>
      <c r="F3" s="2198"/>
      <c r="G3" s="2198"/>
      <c r="H3" s="2198"/>
      <c r="I3" s="2198"/>
      <c r="J3" s="922"/>
      <c r="K3" s="922"/>
    </row>
    <row r="4" spans="1:21" ht="18">
      <c r="A4" s="2198" t="s">
        <v>634</v>
      </c>
      <c r="B4" s="2198"/>
      <c r="C4" s="2198"/>
      <c r="D4" s="2198"/>
      <c r="E4" s="2198"/>
      <c r="F4" s="2198"/>
      <c r="G4" s="2198"/>
      <c r="H4" s="2198"/>
      <c r="I4" s="2198"/>
      <c r="J4" s="922"/>
      <c r="K4" s="922"/>
    </row>
    <row r="5" spans="1:21" ht="18">
      <c r="A5" s="2199" t="str">
        <f>+'OKT TCOS'!F8</f>
        <v>AEP OKLAHOMA TRANSMISSION COMPANY, INC.</v>
      </c>
      <c r="B5" s="2199"/>
      <c r="C5" s="2199"/>
      <c r="D5" s="2199"/>
      <c r="E5" s="2199"/>
      <c r="F5" s="2199"/>
      <c r="G5" s="2199"/>
      <c r="H5" s="2199"/>
      <c r="I5" s="2199"/>
      <c r="J5" s="923"/>
      <c r="K5" s="923"/>
    </row>
    <row r="7" spans="1:21" ht="35.25" customHeight="1">
      <c r="A7" s="722" t="s">
        <v>305</v>
      </c>
      <c r="B7" s="723" t="s">
        <v>307</v>
      </c>
      <c r="C7" s="2250" t="str">
        <f>"Calculate Return and Income Taxes with "&amp;F12&amp;" basis point ROE increase for Projects Qualified for Incentive."</f>
        <v>Calculate Return and Income Taxes with 0 basis point ROE increase for Projects Qualified for Incentive.</v>
      </c>
      <c r="D7" s="2196"/>
      <c r="E7" s="2196"/>
      <c r="F7" s="2196"/>
      <c r="G7" s="2196"/>
      <c r="H7" s="2196"/>
      <c r="I7" s="2196"/>
      <c r="J7" s="724"/>
      <c r="K7" s="724"/>
      <c r="L7" s="2201" t="s">
        <v>427</v>
      </c>
      <c r="M7" s="2201"/>
      <c r="N7" s="2201"/>
      <c r="O7" s="2201"/>
      <c r="P7" s="2201"/>
      <c r="R7" s="720" t="s">
        <v>496</v>
      </c>
    </row>
    <row r="8" spans="1:21" ht="15.75" customHeight="1">
      <c r="A8" s="722" t="s">
        <v>243</v>
      </c>
      <c r="C8" s="724"/>
      <c r="D8" s="724"/>
      <c r="E8" s="724"/>
      <c r="F8" s="724"/>
      <c r="G8" s="724"/>
      <c r="H8" s="724"/>
      <c r="I8" s="724"/>
      <c r="J8" s="724"/>
      <c r="K8" s="724"/>
      <c r="L8" s="2201"/>
      <c r="M8" s="2201"/>
      <c r="N8" s="2201"/>
      <c r="O8" s="2201"/>
      <c r="P8" s="2201"/>
    </row>
    <row r="9" spans="1:21" ht="15.75">
      <c r="C9" s="725" t="str">
        <f>"A.   Determine 'R' with hypothetical "&amp;F12&amp;" basis point increase in ROE for Identified Projects"</f>
        <v>A.   Determine 'R' with hypothetical 0 basis point increase in ROE for Identified Projects</v>
      </c>
      <c r="L9" s="2201"/>
      <c r="M9" s="2201"/>
      <c r="N9" s="2201"/>
      <c r="O9" s="2201"/>
      <c r="P9" s="2201"/>
      <c r="R9" s="493"/>
      <c r="S9" s="493" t="s">
        <v>163</v>
      </c>
    </row>
    <row r="10" spans="1:21" ht="18" customHeight="1">
      <c r="L10" s="2201"/>
      <c r="M10" s="2201"/>
      <c r="N10" s="2201"/>
      <c r="O10" s="2201"/>
      <c r="P10" s="2201"/>
      <c r="R10" s="726" t="s">
        <v>157</v>
      </c>
      <c r="S10" s="720" t="s">
        <v>336</v>
      </c>
    </row>
    <row r="11" spans="1:21" ht="13.5" thickBot="1">
      <c r="A11" s="546">
        <v>1</v>
      </c>
      <c r="C11" s="1" t="str">
        <f>"   ROE w/o incentives  (TCOS, ln "&amp;'OKT TCOS'!B237&amp;")"</f>
        <v xml:space="preserve">   ROE w/o incentives  (TCOS, ln 143)</v>
      </c>
      <c r="E11" s="727"/>
      <c r="F11" s="728">
        <f>+'OKT TCOS'!J237</f>
        <v>0.105</v>
      </c>
      <c r="G11" s="728"/>
      <c r="H11" s="729"/>
      <c r="I11" s="730"/>
      <c r="J11" s="730"/>
      <c r="K11" s="730"/>
      <c r="L11" s="724"/>
      <c r="M11" s="724"/>
      <c r="N11" s="724"/>
      <c r="O11" s="724"/>
      <c r="P11" s="724"/>
      <c r="Q11" s="731"/>
      <c r="R11" s="720" t="s">
        <v>430</v>
      </c>
      <c r="T11" s="734"/>
    </row>
    <row r="12" spans="1:21" ht="14.25">
      <c r="A12" s="546">
        <f>+A11+1</f>
        <v>2</v>
      </c>
      <c r="C12" s="1" t="s">
        <v>145</v>
      </c>
      <c r="E12" s="727"/>
      <c r="F12" s="735">
        <v>0</v>
      </c>
      <c r="G12" s="736" t="s">
        <v>335</v>
      </c>
      <c r="I12" s="493"/>
      <c r="J12" s="493"/>
      <c r="K12" s="493"/>
      <c r="L12" s="741"/>
      <c r="M12" s="741"/>
      <c r="N12" s="741"/>
      <c r="O12" s="741"/>
      <c r="P12" s="741"/>
      <c r="Q12" s="731"/>
      <c r="R12" s="732" t="s">
        <v>494</v>
      </c>
      <c r="S12" s="733" t="s">
        <v>87</v>
      </c>
      <c r="T12" s="131"/>
    </row>
    <row r="13" spans="1:21" ht="13.5" thickBot="1">
      <c r="A13" s="546">
        <f>+A12+1</f>
        <v>3</v>
      </c>
      <c r="C13" s="1" t="str">
        <f>"   ROE with additional "&amp;F12&amp;" basis point incentive"</f>
        <v xml:space="preserve">   ROE with additional 0 basis point incentive</v>
      </c>
      <c r="D13" s="727"/>
      <c r="E13" s="727"/>
      <c r="F13" s="739">
        <f>IF((F11+(F12/10000)&gt;0.1245),"ERROR",F11+(F12/10000))</f>
        <v>0.105</v>
      </c>
      <c r="G13" s="740" t="s">
        <v>633</v>
      </c>
      <c r="I13" s="741"/>
      <c r="J13" s="741"/>
      <c r="K13" s="741"/>
      <c r="Q13" s="731"/>
      <c r="R13" s="737">
        <f>M17</f>
        <v>2022</v>
      </c>
      <c r="S13" s="738" t="s">
        <v>124</v>
      </c>
      <c r="T13" s="131"/>
      <c r="U13" s="589"/>
    </row>
    <row r="14" spans="1:21">
      <c r="A14" s="546">
        <f t="shared" ref="A14:A46" si="0">+A13+1</f>
        <v>4</v>
      </c>
      <c r="C14" s="744" t="str">
        <f>"   Determine R  (cost of long term debt, cost of preferred stock and percent is from TCOS, lns "&amp;'OKT TCOS'!B235&amp;" through "&amp;'OKT TCOS'!B237&amp;")"</f>
        <v xml:space="preserve">   Determine R  (cost of long term debt, cost of preferred stock and percent is from TCOS, lns 141 through 143)</v>
      </c>
      <c r="E14" s="727"/>
      <c r="F14" s="739"/>
      <c r="G14" s="739"/>
      <c r="H14" s="727"/>
      <c r="I14" s="741"/>
      <c r="J14" s="741"/>
      <c r="K14" s="741"/>
      <c r="L14" s="2251" t="s">
        <v>382</v>
      </c>
      <c r="M14" s="2252"/>
      <c r="N14" s="2252"/>
      <c r="O14" s="2252"/>
      <c r="P14" s="2253"/>
      <c r="Q14" s="731"/>
      <c r="R14" s="924">
        <f>+F11</f>
        <v>0.105</v>
      </c>
      <c r="S14" s="738" t="str">
        <f>+C11</f>
        <v xml:space="preserve">   ROE w/o incentives  (TCOS, ln 143)</v>
      </c>
      <c r="T14" s="131"/>
      <c r="U14" s="589"/>
    </row>
    <row r="15" spans="1:21" ht="16.5" customHeight="1">
      <c r="A15" s="546">
        <f t="shared" si="0"/>
        <v>5</v>
      </c>
      <c r="C15" s="731"/>
      <c r="D15" s="746" t="s">
        <v>282</v>
      </c>
      <c r="E15" s="746" t="s">
        <v>281</v>
      </c>
      <c r="F15" s="747" t="s">
        <v>367</v>
      </c>
      <c r="G15" s="747"/>
      <c r="H15" s="727"/>
      <c r="I15" s="741"/>
      <c r="J15" s="741"/>
      <c r="K15" s="741"/>
      <c r="L15" s="2254"/>
      <c r="M15" s="2255"/>
      <c r="N15" s="2255"/>
      <c r="O15" s="2255"/>
      <c r="P15" s="2256"/>
      <c r="Q15" s="731"/>
      <c r="R15" s="745">
        <f>+F12</f>
        <v>0</v>
      </c>
      <c r="S15" s="738" t="str">
        <f>+C12</f>
        <v xml:space="preserve">   Project ROE Incentive Adder (Enter as whole number)</v>
      </c>
      <c r="T15" s="131"/>
      <c r="U15" s="589"/>
    </row>
    <row r="16" spans="1:21">
      <c r="A16" s="546">
        <f t="shared" si="0"/>
        <v>6</v>
      </c>
      <c r="C16" s="753" t="s">
        <v>370</v>
      </c>
      <c r="D16" s="754">
        <f>'OKT TCOS'!G235</f>
        <v>0.44076939576571023</v>
      </c>
      <c r="E16" s="755">
        <f>+'OKT TCOS'!J235</f>
        <v>4.1180692103914777E-2</v>
      </c>
      <c r="F16" s="756">
        <f>E16*D16</f>
        <v>1.815118877585627E-2</v>
      </c>
      <c r="G16" s="757"/>
      <c r="H16" s="727"/>
      <c r="I16" s="741"/>
      <c r="J16" s="741"/>
      <c r="K16" s="741"/>
      <c r="L16" s="763"/>
      <c r="M16" s="731"/>
      <c r="N16" s="731" t="s">
        <v>368</v>
      </c>
      <c r="O16" s="731" t="s">
        <v>429</v>
      </c>
      <c r="P16" s="765" t="s">
        <v>369</v>
      </c>
      <c r="Q16" s="761"/>
      <c r="R16" s="924">
        <f>+D16</f>
        <v>0.44076939576571023</v>
      </c>
      <c r="S16" s="752" t="str">
        <f>+C16&amp;" "&amp;D15</f>
        <v>Long Term Debt %</v>
      </c>
      <c r="T16" s="131"/>
      <c r="U16" s="589"/>
    </row>
    <row r="17" spans="1:21">
      <c r="A17" s="546">
        <f t="shared" si="0"/>
        <v>7</v>
      </c>
      <c r="C17" s="753" t="s">
        <v>371</v>
      </c>
      <c r="D17" s="754">
        <f>'OKT TCOS'!G236</f>
        <v>0</v>
      </c>
      <c r="E17" s="755">
        <f>+'OKT TCOS'!J236</f>
        <v>0</v>
      </c>
      <c r="F17" s="756">
        <f>E17*D17</f>
        <v>0</v>
      </c>
      <c r="G17" s="757"/>
      <c r="H17" s="762"/>
      <c r="I17" s="762"/>
      <c r="J17" s="762"/>
      <c r="K17" s="762"/>
      <c r="L17" s="763" t="s">
        <v>422</v>
      </c>
      <c r="M17" s="925">
        <v>2022</v>
      </c>
      <c r="N17" s="589"/>
      <c r="O17" s="589"/>
      <c r="P17" s="738"/>
      <c r="Q17" s="766"/>
      <c r="R17" s="926">
        <f>+E16</f>
        <v>4.1180692103914777E-2</v>
      </c>
      <c r="S17" s="752" t="str">
        <f>C16&amp;" "&amp;E15</f>
        <v>Long Term Debt Cost</v>
      </c>
      <c r="T17" s="131"/>
      <c r="U17" s="589"/>
    </row>
    <row r="18" spans="1:21">
      <c r="A18" s="546">
        <f t="shared" si="0"/>
        <v>8</v>
      </c>
      <c r="C18" s="753" t="s">
        <v>363</v>
      </c>
      <c r="D18" s="754">
        <f>'OKT TCOS'!G237</f>
        <v>0.55923060423428972</v>
      </c>
      <c r="E18" s="755">
        <f>+F13</f>
        <v>0.105</v>
      </c>
      <c r="F18" s="767">
        <f>E18*D18</f>
        <v>5.8719213444600418E-2</v>
      </c>
      <c r="G18" s="768"/>
      <c r="H18" s="762"/>
      <c r="I18" s="762"/>
      <c r="J18" s="762"/>
      <c r="K18" s="762"/>
      <c r="L18" s="927" t="s">
        <v>423</v>
      </c>
      <c r="M18" s="928"/>
      <c r="N18" s="929">
        <f>+R46</f>
        <v>39406801.621199302</v>
      </c>
      <c r="O18" s="929">
        <f>+R47</f>
        <v>39406801.621199302</v>
      </c>
      <c r="P18" s="930">
        <f>+O18-N18</f>
        <v>0</v>
      </c>
      <c r="Q18" s="766"/>
      <c r="R18" s="924">
        <f>+D17</f>
        <v>0</v>
      </c>
      <c r="S18" s="752" t="str">
        <f>C17&amp;" "&amp;D15</f>
        <v>Preferred Stock %</v>
      </c>
      <c r="T18" s="131"/>
      <c r="U18" s="589"/>
    </row>
    <row r="19" spans="1:21">
      <c r="A19" s="546">
        <f t="shared" si="0"/>
        <v>9</v>
      </c>
      <c r="C19" s="1"/>
      <c r="D19" s="727"/>
      <c r="E19" s="770" t="s">
        <v>372</v>
      </c>
      <c r="F19" s="756">
        <f>SUM(F16:F18)</f>
        <v>7.6870402220456685E-2</v>
      </c>
      <c r="G19" s="757"/>
      <c r="H19" s="771"/>
      <c r="I19" s="762"/>
      <c r="J19" s="762"/>
      <c r="K19" s="762"/>
      <c r="L19" s="931" t="s">
        <v>428</v>
      </c>
      <c r="M19" s="932"/>
      <c r="N19" s="929">
        <f>+R48</f>
        <v>43732218.925781809</v>
      </c>
      <c r="O19" s="929">
        <f>+R49</f>
        <v>43732218.925781809</v>
      </c>
      <c r="P19" s="930">
        <f>+O19-N19</f>
        <v>0</v>
      </c>
      <c r="Q19" s="766"/>
      <c r="R19" s="926">
        <f>+E17</f>
        <v>0</v>
      </c>
      <c r="S19" s="752" t="str">
        <f>C17&amp;" "&amp;E15</f>
        <v>Preferred Stock Cost</v>
      </c>
      <c r="T19" s="131"/>
      <c r="U19" s="589"/>
    </row>
    <row r="20" spans="1:21" ht="13.5" thickBot="1">
      <c r="A20" s="546"/>
      <c r="D20" s="777"/>
      <c r="E20" s="777"/>
      <c r="F20" s="762"/>
      <c r="G20" s="762"/>
      <c r="H20" s="762"/>
      <c r="I20" s="762"/>
      <c r="J20" s="762"/>
      <c r="K20" s="762"/>
      <c r="L20" s="933" t="str">
        <f>"True-up Adjustment For "&amp;M17&amp;""</f>
        <v>True-up Adjustment For 2022</v>
      </c>
      <c r="M20" s="934"/>
      <c r="N20" s="935">
        <f>+N19-N18</f>
        <v>4325417.3045825064</v>
      </c>
      <c r="O20" s="935">
        <f>+O19-O18</f>
        <v>4325417.3045825064</v>
      </c>
      <c r="P20" s="936">
        <f>+P19-P18</f>
        <v>0</v>
      </c>
      <c r="Q20" s="779"/>
      <c r="R20" s="924">
        <f>+D18</f>
        <v>0.55923060423428972</v>
      </c>
      <c r="S20" s="776" t="str">
        <f>C18&amp;" "&amp;D15</f>
        <v>Common Stock %</v>
      </c>
      <c r="T20" s="131"/>
      <c r="U20" s="589"/>
    </row>
    <row r="21" spans="1:21" ht="15.75">
      <c r="A21" s="546"/>
      <c r="C21" s="725" t="str">
        <f>"B.   Determine Return using 'R' with hypothetical "&amp;F12&amp;" basis point ROE increase for Identified Projects."</f>
        <v>B.   Determine Return using 'R' with hypothetical 0 basis point ROE increase for Identified Projects.</v>
      </c>
      <c r="D21" s="777"/>
      <c r="E21" s="777"/>
      <c r="F21" s="762"/>
      <c r="G21" s="762"/>
      <c r="H21" s="762"/>
      <c r="I21" s="727"/>
      <c r="J21" s="727"/>
      <c r="K21" s="727"/>
      <c r="L21" s="761"/>
      <c r="M21" s="764"/>
      <c r="N21" s="937"/>
      <c r="O21" s="937"/>
      <c r="P21" s="929"/>
      <c r="Q21" s="779"/>
      <c r="R21" s="784">
        <f>+E23</f>
        <v>1107972722.1340902</v>
      </c>
      <c r="S21" s="781" t="str">
        <f>C23</f>
        <v xml:space="preserve">   Rate Base  (TCOS, ln 63)</v>
      </c>
      <c r="T21" s="131"/>
      <c r="U21" s="589"/>
    </row>
    <row r="22" spans="1:21">
      <c r="A22" s="546"/>
      <c r="C22" s="731"/>
      <c r="D22" s="777"/>
      <c r="E22" s="777"/>
      <c r="F22" s="779"/>
      <c r="G22" s="779"/>
      <c r="H22" s="779"/>
      <c r="I22" s="779"/>
      <c r="J22" s="779"/>
      <c r="K22" s="779"/>
      <c r="L22" s="762"/>
      <c r="M22" s="762"/>
      <c r="N22" s="762"/>
      <c r="O22" s="762"/>
      <c r="P22" s="762"/>
      <c r="Q22" s="779"/>
      <c r="R22" s="783">
        <f>+F30</f>
        <v>0.24025699999999994</v>
      </c>
      <c r="S22" s="738" t="str">
        <f>+C30</f>
        <v xml:space="preserve">   Tax Rate  (TCOS, ln 99)</v>
      </c>
      <c r="T22" s="131"/>
      <c r="U22" s="589"/>
    </row>
    <row r="23" spans="1:21">
      <c r="A23" s="546">
        <f>+A19+1</f>
        <v>10</v>
      </c>
      <c r="C23" s="1" t="str">
        <f>"   Rate Base  (TCOS, ln "&amp;'OKT TCOS'!B113&amp;")"</f>
        <v xml:space="preserve">   Rate Base  (TCOS, ln 63)</v>
      </c>
      <c r="D23" s="727"/>
      <c r="E23" s="785">
        <f>+'OKT TCOS'!L113</f>
        <v>1107972722.1340902</v>
      </c>
      <c r="F23" s="786"/>
      <c r="G23" s="786"/>
      <c r="H23" s="779"/>
      <c r="I23" s="779"/>
      <c r="J23" s="779"/>
      <c r="K23" s="779"/>
      <c r="L23" s="572"/>
      <c r="M23" s="779"/>
      <c r="N23" s="779"/>
      <c r="O23" s="779"/>
      <c r="P23" s="779"/>
      <c r="Q23" s="779"/>
      <c r="R23" s="784">
        <f>+F33</f>
        <v>0</v>
      </c>
      <c r="S23" s="738" t="str">
        <f>+C33</f>
        <v xml:space="preserve">   ITC Adjustment  (TCOS, ln 108)</v>
      </c>
      <c r="T23" s="131"/>
      <c r="U23" s="589"/>
    </row>
    <row r="24" spans="1:21">
      <c r="A24" s="546">
        <f t="shared" si="0"/>
        <v>11</v>
      </c>
      <c r="C24" s="731" t="s">
        <v>341</v>
      </c>
      <c r="D24" s="729"/>
      <c r="E24" s="787">
        <f>F19</f>
        <v>7.6870402220456685E-2</v>
      </c>
      <c r="F24" s="779"/>
      <c r="G24" s="779"/>
      <c r="H24" s="779"/>
      <c r="I24" s="779"/>
      <c r="J24" s="779"/>
      <c r="K24" s="779"/>
      <c r="M24" s="779"/>
      <c r="N24" s="779"/>
      <c r="O24" s="779"/>
      <c r="P24" s="786"/>
      <c r="Q24" s="779"/>
      <c r="R24" s="784">
        <f>+F34</f>
        <v>1160978.464550423</v>
      </c>
      <c r="S24" s="738" t="str">
        <f>+C34</f>
        <v xml:space="preserve">   Excess DFIT Adjustment  (TCOS, ln 109)</v>
      </c>
      <c r="T24" s="131"/>
      <c r="U24" s="589"/>
    </row>
    <row r="25" spans="1:21">
      <c r="A25" s="546">
        <f t="shared" si="0"/>
        <v>12</v>
      </c>
      <c r="C25" s="788" t="s">
        <v>373</v>
      </c>
      <c r="D25" s="788"/>
      <c r="E25" s="789">
        <f>E23*E24</f>
        <v>85170308.799741805</v>
      </c>
      <c r="F25" s="779"/>
      <c r="G25" s="779"/>
      <c r="H25" s="779"/>
      <c r="I25" s="779"/>
      <c r="J25" s="779"/>
      <c r="K25" s="779"/>
      <c r="L25" s="766"/>
      <c r="M25" s="766"/>
      <c r="N25" s="766"/>
      <c r="O25" s="766"/>
      <c r="P25" s="779"/>
      <c r="Q25" s="766"/>
      <c r="R25" s="784">
        <f>+F35</f>
        <v>152479.08832328828</v>
      </c>
      <c r="S25" s="738" t="str">
        <f>+C35</f>
        <v xml:space="preserve">   Tax Effect of Permanent and Flow Through Differences (TCOS, ln 110)</v>
      </c>
      <c r="T25" s="131"/>
      <c r="U25" s="589"/>
    </row>
    <row r="26" spans="1:21">
      <c r="A26" s="546"/>
      <c r="C26" s="788"/>
      <c r="D26" s="741"/>
      <c r="E26" s="741"/>
      <c r="F26" s="779"/>
      <c r="G26" s="779"/>
      <c r="H26" s="779"/>
      <c r="I26" s="779"/>
      <c r="J26" s="779"/>
      <c r="K26" s="779"/>
      <c r="Q26" s="766"/>
      <c r="R26" s="784">
        <f>+F42</f>
        <v>180543014.47101551</v>
      </c>
      <c r="S26" s="738" t="str">
        <f>+C42</f>
        <v xml:space="preserve">   Net Revenue Requirement  (TCOS, ln 117)</v>
      </c>
      <c r="T26" s="131"/>
      <c r="U26" s="589"/>
    </row>
    <row r="27" spans="1:21" ht="15.75">
      <c r="A27" s="546"/>
      <c r="C27" s="725" t="str">
        <f>"C.   Determine Income Taxes using Return with hypothetical "&amp;F12&amp;" basis point ROE increase for Identified Projects."</f>
        <v>C.   Determine Income Taxes using Return with hypothetical 0 basis point ROE increase for Identified Projects.</v>
      </c>
      <c r="D27" s="794"/>
      <c r="E27" s="794"/>
      <c r="F27" s="795"/>
      <c r="G27" s="795"/>
      <c r="H27" s="795"/>
      <c r="I27" s="795"/>
      <c r="J27" s="795"/>
      <c r="K27" s="795"/>
      <c r="Q27" s="798"/>
      <c r="R27" s="784">
        <f>+F43</f>
        <v>85170308.799741805</v>
      </c>
      <c r="S27" s="738" t="str">
        <f>+C43</f>
        <v xml:space="preserve">   Return  (TCOS, ln 112)</v>
      </c>
      <c r="T27" s="131"/>
      <c r="U27" s="589"/>
    </row>
    <row r="28" spans="1:21" ht="14.25" customHeight="1">
      <c r="A28" s="546"/>
      <c r="C28" s="1"/>
      <c r="D28" s="741"/>
      <c r="E28" s="741"/>
      <c r="F28" s="779"/>
      <c r="G28" s="779"/>
      <c r="H28" s="779"/>
      <c r="I28" s="779"/>
      <c r="J28" s="779"/>
      <c r="K28" s="779"/>
      <c r="L28" s="478"/>
      <c r="M28" s="478"/>
      <c r="N28" s="478"/>
      <c r="O28" s="478"/>
      <c r="P28" s="478"/>
      <c r="Q28" s="766"/>
      <c r="R28" s="784">
        <f>+F44</f>
        <v>21887453.048095852</v>
      </c>
      <c r="S28" s="738" t="str">
        <f>+C44</f>
        <v xml:space="preserve">   Income Taxes  (TCOS, ln 111)</v>
      </c>
      <c r="T28" s="131"/>
      <c r="U28" s="734"/>
    </row>
    <row r="29" spans="1:21" ht="19.5" customHeight="1">
      <c r="A29" s="546">
        <f>+A25+1</f>
        <v>13</v>
      </c>
      <c r="C29" s="731" t="s">
        <v>374</v>
      </c>
      <c r="D29" s="770"/>
      <c r="F29" s="799">
        <f>E25</f>
        <v>85170308.799741805</v>
      </c>
      <c r="G29" s="779"/>
      <c r="H29" s="779"/>
      <c r="I29" s="779"/>
      <c r="J29" s="779"/>
      <c r="K29" s="779"/>
      <c r="L29" s="790" t="s">
        <v>125</v>
      </c>
      <c r="M29" s="791" t="s">
        <v>436</v>
      </c>
      <c r="N29" s="792"/>
      <c r="O29" s="792"/>
      <c r="P29" s="848"/>
      <c r="Q29" s="779"/>
      <c r="R29" s="784">
        <f>+F45</f>
        <v>0</v>
      </c>
      <c r="S29" s="738" t="str">
        <f>+C45</f>
        <v xml:space="preserve">  Gross Margin Taxes  (TCOS, ln 116)</v>
      </c>
      <c r="T29" s="131"/>
      <c r="U29" s="589"/>
    </row>
    <row r="30" spans="1:21" ht="18">
      <c r="A30" s="546">
        <f t="shared" si="0"/>
        <v>14</v>
      </c>
      <c r="C30" s="1" t="str">
        <f>"   Tax Rate  (TCOS, ln "&amp;'OKT TCOS'!B168&amp;")"</f>
        <v xml:space="preserve">   Tax Rate  (TCOS, ln 99)</v>
      </c>
      <c r="D30" s="770"/>
      <c r="F30" s="800">
        <f>+'OKT TCOS'!G168</f>
        <v>0.24025699999999994</v>
      </c>
      <c r="G30" s="779"/>
      <c r="H30" s="779"/>
      <c r="I30" s="779"/>
      <c r="J30" s="779"/>
      <c r="K30" s="779"/>
      <c r="L30" s="766"/>
      <c r="M30" s="796" t="s">
        <v>424</v>
      </c>
      <c r="N30" s="797"/>
      <c r="O30" s="797"/>
      <c r="P30" s="848"/>
      <c r="Q30" s="779"/>
      <c r="R30" s="784">
        <f>+F55</f>
        <v>42688077.29538855</v>
      </c>
      <c r="S30" s="738" t="str">
        <f>+C55</f>
        <v xml:space="preserve">   Less: Depreciation  (TCOS, ln 86)</v>
      </c>
      <c r="T30" s="131"/>
      <c r="U30" s="589"/>
    </row>
    <row r="31" spans="1:21">
      <c r="A31" s="546">
        <f t="shared" si="0"/>
        <v>15</v>
      </c>
      <c r="C31" s="731" t="s">
        <v>196</v>
      </c>
      <c r="F31" s="739">
        <f>IF(F16&gt;0,($F30/(1-$F30))*(1-$F16/$F19),0)</f>
        <v>0.24156300223822261</v>
      </c>
      <c r="L31" s="478"/>
      <c r="M31" s="478"/>
      <c r="N31" s="478"/>
      <c r="O31" s="478"/>
      <c r="P31" s="478"/>
      <c r="R31" s="783">
        <f>+F61</f>
        <v>0</v>
      </c>
      <c r="S31" s="738" t="str">
        <f>+C61</f>
        <v xml:space="preserve">       Apportionment Factor to Texas (Worksheet K, ln 12)</v>
      </c>
      <c r="T31" s="131"/>
      <c r="U31" s="589"/>
    </row>
    <row r="32" spans="1:21">
      <c r="A32" s="546">
        <f t="shared" si="0"/>
        <v>16</v>
      </c>
      <c r="C32" s="788" t="s">
        <v>197</v>
      </c>
      <c r="F32" s="801">
        <f>F29*F31</f>
        <v>20573995.49522214</v>
      </c>
      <c r="L32" s="478"/>
      <c r="M32" s="478"/>
      <c r="N32" s="478"/>
      <c r="O32" s="478"/>
      <c r="P32" s="478"/>
      <c r="R32" s="784">
        <f>+F71</f>
        <v>1199092931.7707691</v>
      </c>
      <c r="S32" s="738" t="str">
        <f>+C71</f>
        <v xml:space="preserve">   Net Transmission Plant  (TCOS, ln 37)</v>
      </c>
      <c r="T32" s="131"/>
      <c r="U32" s="804"/>
    </row>
    <row r="33" spans="1:21" ht="15">
      <c r="A33" s="546">
        <f t="shared" si="0"/>
        <v>17</v>
      </c>
      <c r="C33" s="1" t="str">
        <f>"   ITC Adjustment  (TCOS, ln "&amp;'OKT TCOS'!B178&amp;")"</f>
        <v xml:space="preserve">   ITC Adjustment  (TCOS, ln 108)</v>
      </c>
      <c r="D33" s="350"/>
      <c r="F33" s="779">
        <f>+'OKT TCOS'!L178</f>
        <v>0</v>
      </c>
      <c r="G33" s="350"/>
      <c r="H33" s="350"/>
      <c r="I33" s="350"/>
      <c r="J33" s="350"/>
      <c r="K33" s="350"/>
      <c r="L33" s="478"/>
      <c r="M33" s="478"/>
      <c r="N33" s="478"/>
      <c r="O33" s="478"/>
      <c r="P33" s="478"/>
      <c r="Q33" s="350"/>
      <c r="R33" s="783">
        <f>+F77</f>
        <v>0.11496601599681577</v>
      </c>
      <c r="S33" s="938" t="str">
        <f>+C77</f>
        <v xml:space="preserve">   FCR less Depreciation  (TCOS, ln 10)</v>
      </c>
      <c r="T33" s="131"/>
      <c r="U33" s="734"/>
    </row>
    <row r="34" spans="1:21" ht="15">
      <c r="A34" s="546">
        <f t="shared" si="0"/>
        <v>18</v>
      </c>
      <c r="C34" s="1" t="str">
        <f>"   Excess DFIT Adjustment  (TCOS, ln "&amp;'OKT TCOS'!B179&amp;")"</f>
        <v xml:space="preserve">   Excess DFIT Adjustment  (TCOS, ln 109)</v>
      </c>
      <c r="D34" s="350"/>
      <c r="F34" s="779">
        <f>+'OKT TCOS'!L179</f>
        <v>1160978.464550423</v>
      </c>
      <c r="G34" s="350"/>
      <c r="H34" s="350"/>
      <c r="I34" s="350"/>
      <c r="J34" s="350"/>
      <c r="K34" s="350"/>
      <c r="L34" s="478"/>
      <c r="M34" s="478"/>
      <c r="N34" s="478"/>
      <c r="O34" s="478"/>
      <c r="P34" s="478"/>
      <c r="Q34" s="350"/>
      <c r="R34" s="939">
        <f>+F81</f>
        <v>1380374997.5384614</v>
      </c>
      <c r="S34" s="940" t="str">
        <f>+C81</f>
        <v>Transmission Plant Average Balance for 2022 (WS A-1 Ln 14 Col (d))</v>
      </c>
      <c r="T34" s="131"/>
      <c r="U34" s="734"/>
    </row>
    <row r="35" spans="1:21" ht="15.75" thickBot="1">
      <c r="A35" s="546">
        <f t="shared" si="0"/>
        <v>19</v>
      </c>
      <c r="C35" s="1" t="str">
        <f>"   Tax Effect of Permanent and Flow Through Differences (TCOS, ln "&amp;'OKT TCOS'!B180&amp;")"</f>
        <v xml:space="preserve">   Tax Effect of Permanent and Flow Through Differences (TCOS, ln 110)</v>
      </c>
      <c r="D35" s="350"/>
      <c r="F35" s="779">
        <f>+'OKT TCOS'!L180</f>
        <v>152479.08832328828</v>
      </c>
      <c r="G35" s="350"/>
      <c r="H35" s="350"/>
      <c r="I35" s="350"/>
      <c r="J35" s="350"/>
      <c r="K35" s="350"/>
      <c r="L35" s="478"/>
      <c r="M35" s="478"/>
      <c r="N35" s="478"/>
      <c r="O35" s="478"/>
      <c r="P35" s="478"/>
      <c r="Q35" s="350"/>
      <c r="R35" s="941">
        <f>+F82</f>
        <v>42688107</v>
      </c>
      <c r="S35" s="942" t="str">
        <f>+C82</f>
        <v>Annual Depreciation Expense  (TCOS, ln 86)</v>
      </c>
      <c r="T35" s="131"/>
      <c r="U35" s="734"/>
    </row>
    <row r="36" spans="1:21" ht="15">
      <c r="A36" s="546">
        <f t="shared" si="0"/>
        <v>20</v>
      </c>
      <c r="C36" s="788" t="s">
        <v>375</v>
      </c>
      <c r="D36" s="350"/>
      <c r="F36" s="807">
        <f>+SUM(F32:F35)</f>
        <v>21887453.048095852</v>
      </c>
      <c r="G36" s="350"/>
      <c r="H36" s="350"/>
      <c r="I36" s="350"/>
      <c r="J36" s="350"/>
      <c r="K36" s="350"/>
      <c r="L36" s="778"/>
      <c r="M36" s="778"/>
      <c r="N36" s="778"/>
      <c r="O36" s="778"/>
      <c r="P36" s="778"/>
      <c r="Q36" s="350"/>
      <c r="R36" s="943"/>
      <c r="S36" s="589"/>
      <c r="T36" s="131"/>
    </row>
    <row r="37" spans="1:21" ht="12.75" customHeight="1">
      <c r="A37" s="546"/>
      <c r="C37" s="314"/>
      <c r="D37" s="350"/>
      <c r="E37" s="350"/>
      <c r="F37" s="350"/>
      <c r="G37" s="350"/>
      <c r="H37" s="350"/>
      <c r="I37" s="350"/>
      <c r="J37" s="350"/>
      <c r="K37" s="350"/>
      <c r="L37" s="778"/>
      <c r="M37" s="778"/>
      <c r="N37" s="778"/>
      <c r="O37" s="778"/>
      <c r="P37" s="778"/>
      <c r="Q37" s="350"/>
      <c r="R37" s="493"/>
      <c r="T37" s="131"/>
    </row>
    <row r="38" spans="1:21" ht="18.75">
      <c r="A38" s="546"/>
      <c r="B38" s="723" t="s">
        <v>308</v>
      </c>
      <c r="C38" s="721" t="str">
        <f>"Calculate Net Plant Carrying Charge Rate (Fixed Charge Rate or FCR) with hypothetical "&amp;F12&amp;" basis point"</f>
        <v>Calculate Net Plant Carrying Charge Rate (Fixed Charge Rate or FCR) with hypothetical 0 basis point</v>
      </c>
      <c r="D38" s="350"/>
      <c r="E38" s="350"/>
      <c r="F38" s="350"/>
      <c r="G38" s="350"/>
      <c r="H38" s="350"/>
      <c r="I38" s="350"/>
      <c r="J38" s="350"/>
      <c r="K38" s="350"/>
      <c r="L38" s="778"/>
      <c r="M38" s="778"/>
      <c r="N38" s="778"/>
      <c r="O38" s="778"/>
      <c r="P38" s="778"/>
      <c r="Q38" s="350"/>
      <c r="R38" s="493"/>
      <c r="T38" s="131"/>
    </row>
    <row r="39" spans="1:21" ht="18.75" customHeight="1">
      <c r="A39" s="546"/>
      <c r="B39" s="723"/>
      <c r="C39" s="721" t="str">
        <f>"ROE increase."</f>
        <v>ROE increase.</v>
      </c>
      <c r="D39" s="350"/>
      <c r="E39" s="350"/>
      <c r="F39" s="350"/>
      <c r="G39" s="350"/>
      <c r="H39" s="350"/>
      <c r="I39" s="350"/>
      <c r="J39" s="350"/>
      <c r="K39" s="350"/>
      <c r="L39" s="350"/>
      <c r="M39" s="350"/>
      <c r="N39" s="350"/>
      <c r="O39" s="350"/>
      <c r="P39" s="286"/>
      <c r="Q39" s="350"/>
      <c r="R39" s="572" t="s">
        <v>164</v>
      </c>
      <c r="S39" s="720" t="s">
        <v>431</v>
      </c>
    </row>
    <row r="40" spans="1:21" ht="12.75" customHeight="1">
      <c r="A40" s="546"/>
      <c r="C40" s="314"/>
      <c r="D40" s="350"/>
      <c r="E40" s="350"/>
      <c r="F40" s="350"/>
      <c r="G40" s="350"/>
      <c r="H40" s="350"/>
      <c r="I40" s="350"/>
      <c r="J40" s="350"/>
      <c r="K40" s="350"/>
      <c r="P40" s="286"/>
      <c r="Q40" s="350"/>
      <c r="R40" s="493"/>
    </row>
    <row r="41" spans="1:21" ht="15.75">
      <c r="A41" s="546"/>
      <c r="C41" s="725" t="s">
        <v>146</v>
      </c>
      <c r="D41" s="350"/>
      <c r="E41" s="350"/>
      <c r="F41" s="83"/>
      <c r="G41" s="83"/>
      <c r="H41" s="350"/>
      <c r="I41" s="350"/>
      <c r="J41" s="350"/>
      <c r="K41" s="350"/>
      <c r="P41" s="286"/>
      <c r="Q41" s="350"/>
      <c r="R41" s="720" t="s">
        <v>165</v>
      </c>
      <c r="S41" s="720" t="s">
        <v>431</v>
      </c>
    </row>
    <row r="42" spans="1:21" ht="12.75" customHeight="1">
      <c r="A42" s="546">
        <f>+A36+1</f>
        <v>21</v>
      </c>
      <c r="C42" s="1" t="str">
        <f>"   Net Revenue Requirement  (TCOS, ln "&amp;'OKT TCOS'!B193&amp;")"</f>
        <v xml:space="preserve">   Net Revenue Requirement  (TCOS, ln 117)</v>
      </c>
      <c r="D42" s="808"/>
      <c r="E42" s="808"/>
      <c r="F42" s="779">
        <f>+'OKT TCOS'!L193</f>
        <v>180543014.47101551</v>
      </c>
      <c r="G42" s="779"/>
      <c r="H42" s="808"/>
      <c r="I42" s="808"/>
      <c r="J42" s="808"/>
      <c r="K42" s="808"/>
      <c r="L42" s="808"/>
      <c r="M42" s="808"/>
      <c r="N42" s="808"/>
      <c r="O42" s="808"/>
      <c r="P42" s="779"/>
      <c r="Q42" s="808"/>
      <c r="R42" s="720"/>
      <c r="S42" s="572"/>
    </row>
    <row r="43" spans="1:21">
      <c r="A43" s="546">
        <f t="shared" si="0"/>
        <v>22</v>
      </c>
      <c r="C43" s="1" t="str">
        <f>"   Return  (TCOS, ln "&amp;'OKT TCOS'!B184&amp;")"</f>
        <v xml:space="preserve">   Return  (TCOS, ln 112)</v>
      </c>
      <c r="D43" s="808"/>
      <c r="E43" s="808"/>
      <c r="F43" s="766">
        <f>+'OKT TCOS'!L184</f>
        <v>85170308.799741805</v>
      </c>
      <c r="G43" s="766"/>
      <c r="H43" s="811"/>
      <c r="I43" s="811"/>
      <c r="J43" s="811"/>
      <c r="K43" s="811"/>
      <c r="L43" s="811"/>
      <c r="M43" s="811"/>
      <c r="N43" s="811"/>
      <c r="O43" s="811"/>
      <c r="P43" s="779"/>
      <c r="Q43" s="811"/>
      <c r="R43" s="720"/>
      <c r="S43" s="572"/>
    </row>
    <row r="44" spans="1:21">
      <c r="A44" s="546">
        <f t="shared" si="0"/>
        <v>23</v>
      </c>
      <c r="C44" s="1" t="str">
        <f>"   Income Taxes  (TCOS, ln "&amp;'OKT TCOS'!B182&amp;")"</f>
        <v xml:space="preserve">   Income Taxes  (TCOS, ln 111)</v>
      </c>
      <c r="D44" s="808"/>
      <c r="E44" s="808"/>
      <c r="F44" s="779">
        <f>+'OKT TCOS'!L182</f>
        <v>21887453.048095852</v>
      </c>
      <c r="G44" s="779"/>
      <c r="H44" s="808"/>
      <c r="I44" s="808"/>
      <c r="J44" s="808"/>
      <c r="K44" s="808"/>
      <c r="L44" s="814"/>
      <c r="M44" s="814"/>
      <c r="N44" s="814"/>
      <c r="O44" s="814"/>
      <c r="P44" s="808"/>
      <c r="Q44" s="814"/>
      <c r="R44" s="726" t="s">
        <v>161</v>
      </c>
      <c r="S44" s="720" t="s">
        <v>70</v>
      </c>
    </row>
    <row r="45" spans="1:21" ht="13.5" thickBot="1">
      <c r="A45" s="546">
        <f t="shared" si="0"/>
        <v>24</v>
      </c>
      <c r="C45" s="1" t="str">
        <f>"  Gross Margin Taxes  (TCOS, ln "&amp;'OKT TCOS'!B191&amp;")"</f>
        <v xml:space="preserve">  Gross Margin Taxes  (TCOS, ln 116)</v>
      </c>
      <c r="D45" s="808"/>
      <c r="E45" s="808"/>
      <c r="F45" s="816">
        <f>+'OKT TCOS'!L191</f>
        <v>0</v>
      </c>
      <c r="G45" s="779"/>
      <c r="H45" s="808"/>
      <c r="I45" s="808"/>
      <c r="J45" s="808"/>
      <c r="K45" s="808"/>
      <c r="L45" s="814"/>
      <c r="M45" s="814"/>
      <c r="N45" s="814"/>
      <c r="O45" s="814"/>
      <c r="P45" s="808"/>
      <c r="Q45" s="814"/>
      <c r="R45" s="720" t="s">
        <v>432</v>
      </c>
    </row>
    <row r="46" spans="1:21">
      <c r="A46" s="546">
        <f t="shared" si="0"/>
        <v>25</v>
      </c>
      <c r="C46" s="589" t="s">
        <v>23</v>
      </c>
      <c r="D46" s="808"/>
      <c r="E46" s="808"/>
      <c r="F46" s="766">
        <f>F42-F43-F44-F45</f>
        <v>73485252.623177856</v>
      </c>
      <c r="G46" s="766"/>
      <c r="H46" s="764"/>
      <c r="I46" s="808"/>
      <c r="J46" s="808"/>
      <c r="K46" s="808"/>
      <c r="L46" s="764"/>
      <c r="M46" s="764"/>
      <c r="N46" s="764"/>
      <c r="O46" s="764"/>
      <c r="P46" s="764"/>
      <c r="Q46" s="764"/>
      <c r="R46" s="815">
        <v>39406801.621199302</v>
      </c>
      <c r="S46" s="493" t="str">
        <f>+L18&amp;" "&amp;N16</f>
        <v>∑ True Up Year Projected  WS-F   Rev Require</v>
      </c>
    </row>
    <row r="47" spans="1:21">
      <c r="A47" s="546"/>
      <c r="C47" s="1"/>
      <c r="D47" s="808"/>
      <c r="E47" s="808"/>
      <c r="F47" s="779"/>
      <c r="G47" s="779"/>
      <c r="H47" s="819"/>
      <c r="I47" s="820"/>
      <c r="J47" s="820"/>
      <c r="K47" s="820"/>
      <c r="L47" s="820"/>
      <c r="M47" s="820"/>
      <c r="N47" s="820"/>
      <c r="O47" s="820"/>
      <c r="P47" s="820"/>
      <c r="Q47" s="820"/>
      <c r="R47" s="817">
        <v>39406801.621199302</v>
      </c>
      <c r="S47" s="493" t="str">
        <f>+L18&amp;" "&amp;O16</f>
        <v>∑ True Up Year Projected  WS-F    With Incentives</v>
      </c>
    </row>
    <row r="48" spans="1:21" ht="15.75">
      <c r="A48" s="546"/>
      <c r="C48" s="725" t="str">
        <f>"B.   Determine Net Revenue Requirement with hypothetical "&amp;F12&amp;" basis point increase in ROE."</f>
        <v>B.   Determine Net Revenue Requirement with hypothetical 0 basis point increase in ROE.</v>
      </c>
      <c r="D48" s="731"/>
      <c r="E48" s="731"/>
      <c r="F48" s="779"/>
      <c r="G48" s="779"/>
      <c r="H48" s="819"/>
      <c r="I48" s="820"/>
      <c r="J48" s="820"/>
      <c r="K48" s="820"/>
      <c r="L48" s="820"/>
      <c r="M48" s="820"/>
      <c r="N48" s="820"/>
      <c r="O48" s="820"/>
      <c r="P48" s="820"/>
      <c r="Q48" s="820"/>
      <c r="R48" s="944">
        <v>43732218.925781809</v>
      </c>
      <c r="S48" s="493" t="str">
        <f>+L19&amp;" "&amp;N16</f>
        <v>∑ True-Up Year True-Up WS-G   Rev Require</v>
      </c>
    </row>
    <row r="49" spans="1:19" ht="13.5" thickBot="1">
      <c r="A49" s="546">
        <f>+A46+1</f>
        <v>26</v>
      </c>
      <c r="C49" s="1" t="str">
        <f>C46</f>
        <v xml:space="preserve">   Net Revenue Requirement, Less Return and Taxes</v>
      </c>
      <c r="D49" s="731"/>
      <c r="E49" s="731"/>
      <c r="F49" s="779">
        <f>F46</f>
        <v>73485252.623177856</v>
      </c>
      <c r="G49" s="779"/>
      <c r="H49" s="819"/>
      <c r="I49" s="820"/>
      <c r="J49" s="820"/>
      <c r="K49" s="820"/>
      <c r="L49" s="820"/>
      <c r="M49" s="820"/>
      <c r="N49" s="820"/>
      <c r="O49" s="820"/>
      <c r="P49" s="820"/>
      <c r="Q49" s="820"/>
      <c r="R49" s="945">
        <v>43732218.925781809</v>
      </c>
      <c r="S49" s="493" t="str">
        <f>+L19&amp;" "&amp;O16</f>
        <v>∑ True-Up Year True-Up WS-G    With Incentives</v>
      </c>
    </row>
    <row r="50" spans="1:19">
      <c r="A50" s="546">
        <f t="shared" ref="A50:A56" si="1">+A49+1</f>
        <v>27</v>
      </c>
      <c r="C50" s="731" t="s">
        <v>383</v>
      </c>
      <c r="D50" s="822"/>
      <c r="E50" s="589"/>
      <c r="F50" s="823">
        <f>E25</f>
        <v>85170308.799741805</v>
      </c>
      <c r="G50" s="779"/>
      <c r="H50" s="808"/>
      <c r="I50" s="808"/>
      <c r="J50" s="808"/>
      <c r="K50" s="808"/>
      <c r="L50" s="808"/>
      <c r="M50" s="808"/>
      <c r="N50" s="808"/>
      <c r="O50" s="808"/>
      <c r="P50" s="821"/>
      <c r="Q50" s="808"/>
    </row>
    <row r="51" spans="1:19">
      <c r="A51" s="546">
        <f t="shared" si="1"/>
        <v>28</v>
      </c>
      <c r="C51" s="1" t="s">
        <v>376</v>
      </c>
      <c r="D51" s="808"/>
      <c r="E51" s="808"/>
      <c r="F51" s="824">
        <f>F36</f>
        <v>21887453.048095852</v>
      </c>
      <c r="G51" s="823"/>
      <c r="H51" s="589"/>
      <c r="I51" s="590"/>
      <c r="J51" s="590"/>
      <c r="K51" s="590"/>
      <c r="L51" s="589"/>
      <c r="M51" s="589"/>
      <c r="N51" s="589"/>
      <c r="O51" s="589"/>
      <c r="P51" s="589"/>
    </row>
    <row r="52" spans="1:19" ht="12.75" customHeight="1">
      <c r="A52" s="546">
        <f t="shared" si="1"/>
        <v>29</v>
      </c>
      <c r="C52" s="589" t="str">
        <f>"   Net Revenue Requirement, with "&amp;F12&amp;" Basis Point ROE increase"</f>
        <v xml:space="preserve">   Net Revenue Requirement, with 0 Basis Point ROE increase</v>
      </c>
      <c r="F52" s="801">
        <f>SUM(F49:F51)</f>
        <v>180543014.47101551</v>
      </c>
      <c r="G52" s="825"/>
    </row>
    <row r="53" spans="1:19">
      <c r="A53" s="546">
        <f t="shared" si="1"/>
        <v>30</v>
      </c>
      <c r="C53" s="804" t="str">
        <f>"   Gross Margin Tax with "&amp;F87&amp;" Basis Point ROE Increase (II C. below)"</f>
        <v xml:space="preserve">   Gross Margin Tax with  Basis Point ROE Increase (II C. below)</v>
      </c>
      <c r="D53" s="653"/>
      <c r="E53" s="653"/>
      <c r="F53" s="826">
        <f>+F68</f>
        <v>0</v>
      </c>
      <c r="G53" s="801"/>
    </row>
    <row r="54" spans="1:19">
      <c r="A54" s="546">
        <f t="shared" si="1"/>
        <v>31</v>
      </c>
      <c r="C54" s="589" t="s">
        <v>24</v>
      </c>
      <c r="F54" s="823">
        <f>+F52+F53</f>
        <v>180543014.47101551</v>
      </c>
      <c r="G54" s="823"/>
    </row>
    <row r="55" spans="1:19">
      <c r="A55" s="546">
        <f t="shared" si="1"/>
        <v>32</v>
      </c>
      <c r="C55" s="1" t="str">
        <f>"   Less: Depreciation  (TCOS, ln "&amp;'OKT TCOS'!B153&amp;")"</f>
        <v xml:space="preserve">   Less: Depreciation  (TCOS, ln 86)</v>
      </c>
      <c r="F55" s="827">
        <f>+'OKT TCOS'!L153</f>
        <v>42688077.29538855</v>
      </c>
      <c r="G55" s="823"/>
    </row>
    <row r="56" spans="1:19">
      <c r="A56" s="546">
        <f t="shared" si="1"/>
        <v>33</v>
      </c>
      <c r="C56" s="589" t="str">
        <f>"   Net Rev. Req, w/"&amp;F12&amp;" Basis Point ROE increase, less Depreciation"</f>
        <v xml:space="preserve">   Net Rev. Req, w/0 Basis Point ROE increase, less Depreciation</v>
      </c>
      <c r="F56" s="801">
        <f>F54-F55</f>
        <v>137854937.17562696</v>
      </c>
      <c r="G56" s="827"/>
    </row>
    <row r="57" spans="1:19">
      <c r="A57" s="546"/>
      <c r="G57" s="801"/>
    </row>
    <row r="58" spans="1:19" ht="15.75">
      <c r="A58" s="546"/>
      <c r="C58" s="725" t="str">
        <f>"C.   Determine Gross Margin Tax with hypothetical "&amp;F12&amp;" basis point increase in ROE."</f>
        <v>C.   Determine Gross Margin Tax with hypothetical 0 basis point increase in ROE.</v>
      </c>
      <c r="D58" s="653"/>
      <c r="E58" s="653"/>
      <c r="F58" s="801"/>
    </row>
    <row r="59" spans="1:19">
      <c r="A59" s="546">
        <f>+A56+1</f>
        <v>34</v>
      </c>
      <c r="C59" s="804" t="str">
        <f>"   Net Revenue Requirement before Gross Margin Taxes, with "&amp;F12&amp;" "</f>
        <v xml:space="preserve">   Net Revenue Requirement before Gross Margin Taxes, with 0 </v>
      </c>
      <c r="D59" s="653"/>
      <c r="E59" s="653"/>
      <c r="F59" s="801">
        <f>+F52</f>
        <v>180543014.47101551</v>
      </c>
      <c r="G59" s="801"/>
    </row>
    <row r="60" spans="1:19">
      <c r="A60" s="546">
        <f t="shared" ref="A60:A68" si="2">+A59+1</f>
        <v>35</v>
      </c>
      <c r="C60" s="804" t="s">
        <v>25</v>
      </c>
      <c r="D60" s="653"/>
      <c r="E60" s="653"/>
      <c r="F60" s="801"/>
      <c r="G60" s="801"/>
    </row>
    <row r="61" spans="1:19">
      <c r="A61" s="546">
        <f t="shared" si="2"/>
        <v>36</v>
      </c>
      <c r="C61" s="589" t="str">
        <f>"       Apportionment Factor to Texas (Worksheet K, ln "&amp;'OKT WS K State Taxes'!A53&amp;")"</f>
        <v xml:space="preserve">       Apportionment Factor to Texas (Worksheet K, ln 12)</v>
      </c>
      <c r="F61" s="828">
        <f>+'OKT WS K State Taxes'!E53</f>
        <v>0</v>
      </c>
      <c r="G61" s="801"/>
    </row>
    <row r="62" spans="1:19">
      <c r="A62" s="546">
        <f t="shared" si="2"/>
        <v>37</v>
      </c>
      <c r="C62" s="589" t="s">
        <v>26</v>
      </c>
      <c r="F62" s="801">
        <f>+F61*F59</f>
        <v>0</v>
      </c>
      <c r="G62" s="800"/>
    </row>
    <row r="63" spans="1:19">
      <c r="A63" s="546">
        <f t="shared" si="2"/>
        <v>38</v>
      </c>
      <c r="C63" s="589" t="s">
        <v>661</v>
      </c>
      <c r="F63" s="829">
        <v>0.22</v>
      </c>
      <c r="G63" s="801"/>
    </row>
    <row r="64" spans="1:19">
      <c r="A64" s="546">
        <f t="shared" si="2"/>
        <v>39</v>
      </c>
      <c r="C64" s="589" t="s">
        <v>27</v>
      </c>
      <c r="F64" s="801">
        <f>+F62*F63</f>
        <v>0</v>
      </c>
      <c r="G64" s="830"/>
    </row>
    <row r="65" spans="1:8">
      <c r="A65" s="546">
        <f t="shared" si="2"/>
        <v>40</v>
      </c>
      <c r="C65" s="589" t="s">
        <v>28</v>
      </c>
      <c r="F65" s="829">
        <v>0.01</v>
      </c>
      <c r="G65" s="801"/>
    </row>
    <row r="66" spans="1:8">
      <c r="A66" s="546">
        <f t="shared" si="2"/>
        <v>41</v>
      </c>
      <c r="C66" s="589" t="s">
        <v>29</v>
      </c>
      <c r="F66" s="801">
        <f>+F64*F65</f>
        <v>0</v>
      </c>
      <c r="G66" s="830"/>
    </row>
    <row r="67" spans="1:8">
      <c r="A67" s="546">
        <f t="shared" si="2"/>
        <v>42</v>
      </c>
      <c r="C67" s="589" t="s">
        <v>30</v>
      </c>
      <c r="F67" s="831">
        <f>+ROUND((F66*F63*F61)/(1-F65)*F65,0)</f>
        <v>0</v>
      </c>
      <c r="G67" s="801"/>
    </row>
    <row r="68" spans="1:8">
      <c r="A68" s="546">
        <f t="shared" si="2"/>
        <v>43</v>
      </c>
      <c r="C68" s="589" t="s">
        <v>31</v>
      </c>
      <c r="F68" s="801">
        <f>+F66+F67</f>
        <v>0</v>
      </c>
      <c r="G68" s="675"/>
    </row>
    <row r="69" spans="1:8">
      <c r="A69" s="546"/>
      <c r="G69" s="801"/>
    </row>
    <row r="70" spans="1:8" ht="15.75">
      <c r="A70" s="546"/>
      <c r="C70" s="725" t="str">
        <f>"D.   Determine FCR with hypothetical "&amp;F12&amp;" basis point ROE increase."</f>
        <v>D.   Determine FCR with hypothetical 0 basis point ROE increase.</v>
      </c>
    </row>
    <row r="71" spans="1:8">
      <c r="A71" s="546">
        <f>+A68+1</f>
        <v>44</v>
      </c>
      <c r="C71" s="1" t="str">
        <f>"   Net Transmission Plant  (TCOS, ln "&amp;'OKT TCOS'!B79&amp;")"</f>
        <v xml:space="preserve">   Net Transmission Plant  (TCOS, ln 37)</v>
      </c>
      <c r="F71" s="801">
        <f>+'OKT TCOS'!L79</f>
        <v>1199092931.7707691</v>
      </c>
    </row>
    <row r="72" spans="1:8" ht="15">
      <c r="A72" s="546">
        <f>+A71+1</f>
        <v>45</v>
      </c>
      <c r="C72" s="589" t="str">
        <f>"   Net Revenue Requirement, with "&amp;F12&amp;" Basis Point ROE increase"</f>
        <v xml:space="preserve">   Net Revenue Requirement, with 0 Basis Point ROE increase</v>
      </c>
      <c r="F72" s="832">
        <f>+F54</f>
        <v>180543014.47101551</v>
      </c>
      <c r="G72" s="801"/>
    </row>
    <row r="73" spans="1:8" ht="15">
      <c r="A73" s="546">
        <f>+A72+1</f>
        <v>46</v>
      </c>
      <c r="C73" s="589" t="str">
        <f>"   FCR with "&amp;F12&amp;" Basis Point increase in ROE"</f>
        <v xml:space="preserve">   FCR with 0 Basis Point increase in ROE</v>
      </c>
      <c r="F73" s="742">
        <f>IF(F71=0,0,F72/F71)</f>
        <v>0.15056632366633779</v>
      </c>
      <c r="G73" s="832"/>
    </row>
    <row r="74" spans="1:8">
      <c r="A74" s="546"/>
      <c r="G74" s="742"/>
    </row>
    <row r="75" spans="1:8">
      <c r="A75" s="546">
        <f>+A73+1</f>
        <v>47</v>
      </c>
      <c r="C75" s="589" t="str">
        <f>"   Net Rev. Req, w / "&amp;F12&amp;" Basis Point ROE increase, less Dep."</f>
        <v xml:space="preserve">   Net Rev. Req, w / 0 Basis Point ROE increase, less Dep.</v>
      </c>
      <c r="F75" s="801">
        <f>+F56</f>
        <v>137854937.17562696</v>
      </c>
      <c r="H75" s="742"/>
    </row>
    <row r="76" spans="1:8">
      <c r="A76" s="546">
        <f t="shared" ref="A76:A85" si="3">+A75+1</f>
        <v>48</v>
      </c>
      <c r="C76" s="589" t="str">
        <f>"   FCR with "&amp;F12&amp;" Basis Point ROE increase, less Depreciation"</f>
        <v xml:space="preserve">   FCR with 0 Basis Point ROE increase, less Depreciation</v>
      </c>
      <c r="F76" s="742">
        <f>IF(F71=0,0,F75/F71)</f>
        <v>0.11496601599681577</v>
      </c>
      <c r="G76" s="801"/>
    </row>
    <row r="77" spans="1:8">
      <c r="A77" s="546">
        <f t="shared" si="3"/>
        <v>49</v>
      </c>
      <c r="C77" s="1" t="str">
        <f>"   FCR less Depreciation  (TCOS, ln "&amp;'OKT TCOS'!B30&amp;")"</f>
        <v xml:space="preserve">   FCR less Depreciation  (TCOS, ln 10)</v>
      </c>
      <c r="F77" s="833">
        <f>+'OKT TCOS'!L30</f>
        <v>0.11496601599681577</v>
      </c>
      <c r="G77" s="742"/>
      <c r="H77" s="801"/>
    </row>
    <row r="78" spans="1:8">
      <c r="A78" s="546">
        <f t="shared" si="3"/>
        <v>50</v>
      </c>
      <c r="C78" s="589" t="str">
        <f>"   Incremental FCR with "&amp;F12&amp;" Basis Point ROE increase, less Depreciation"</f>
        <v xml:space="preserve">   Incremental FCR with 0 Basis Point ROE increase, less Depreciation</v>
      </c>
      <c r="F78" s="742">
        <f>F76-F77</f>
        <v>0</v>
      </c>
      <c r="G78" s="833"/>
      <c r="H78" s="834"/>
    </row>
    <row r="79" spans="1:8">
      <c r="A79" s="546"/>
      <c r="C79" s="589"/>
      <c r="F79" s="742"/>
      <c r="G79" s="742"/>
    </row>
    <row r="80" spans="1:8" ht="18.75">
      <c r="A80" s="546"/>
      <c r="B80" s="723" t="s">
        <v>309</v>
      </c>
      <c r="C80" s="721" t="s">
        <v>377</v>
      </c>
      <c r="F80" s="742"/>
      <c r="G80" s="742"/>
    </row>
    <row r="81" spans="1:16" ht="12.75" customHeight="1">
      <c r="A81" s="546">
        <f>+A78+1</f>
        <v>51</v>
      </c>
      <c r="C81" s="589" t="str">
        <f>"Transmission Plant Average Balance for "&amp;'OKT TCOS'!$N$2&amp;" (WS A-1 Ln "&amp;'OKT WS A-1 - Plant'!A24&amp;" Col "&amp;'OKT WS A-1 - Plant'!E9&amp;")"</f>
        <v>Transmission Plant Average Balance for 2022 (WS A-1 Ln 14 Col (d))</v>
      </c>
      <c r="F81" s="590">
        <f>+'OKT WS A-1 - Plant'!E24</f>
        <v>1380374997.5384614</v>
      </c>
      <c r="G81" s="549"/>
    </row>
    <row r="82" spans="1:16">
      <c r="A82" s="546">
        <f t="shared" si="3"/>
        <v>52</v>
      </c>
      <c r="C82" s="1" t="str">
        <f>"Annual Depreciation Expense  (TCOS, ln "&amp;'OKT TCOS'!B153&amp;")"</f>
        <v>Annual Depreciation Expense  (TCOS, ln 86)</v>
      </c>
      <c r="F82" s="590">
        <f>+'OKT TCOS'!G153</f>
        <v>42688107</v>
      </c>
      <c r="G82" s="590"/>
    </row>
    <row r="83" spans="1:16">
      <c r="A83" s="546">
        <f t="shared" si="3"/>
        <v>53</v>
      </c>
      <c r="C83" s="589" t="s">
        <v>378</v>
      </c>
      <c r="F83" s="742">
        <f>IF(F81=0,0,F82/F81)</f>
        <v>3.0925007390110004E-2</v>
      </c>
      <c r="G83" s="590"/>
    </row>
    <row r="84" spans="1:16">
      <c r="A84" s="546">
        <f t="shared" si="3"/>
        <v>54</v>
      </c>
      <c r="C84" s="589" t="s">
        <v>379</v>
      </c>
      <c r="F84" s="835">
        <f>IF(F83=0,0,1/F83)</f>
        <v>32.336289766572726</v>
      </c>
      <c r="G84" s="742"/>
      <c r="I84" s="548"/>
      <c r="J84" s="548"/>
      <c r="K84" s="548"/>
    </row>
    <row r="85" spans="1:16">
      <c r="A85" s="546">
        <f t="shared" si="3"/>
        <v>55</v>
      </c>
      <c r="C85" s="589" t="s">
        <v>380</v>
      </c>
      <c r="F85" s="585">
        <f>ROUND(F84,0)</f>
        <v>32</v>
      </c>
      <c r="G85" s="835"/>
    </row>
    <row r="86" spans="1:16">
      <c r="A86" s="546"/>
      <c r="C86" s="1"/>
      <c r="D86" s="731"/>
      <c r="E86" s="731"/>
      <c r="F86" s="779"/>
      <c r="G86" s="585"/>
    </row>
    <row r="87" spans="1:16">
      <c r="C87" s="589"/>
      <c r="F87" s="585"/>
      <c r="G87" s="585"/>
    </row>
    <row r="89" spans="1:16" ht="20.25">
      <c r="A89" s="946" t="str">
        <f>"Worksheet G  --  "&amp;'OKT TCOS'!F8&amp;"--  Calculation of Trued-Up ARR for SPP Base Plan Upgrade Projects"</f>
        <v>Worksheet G  --  AEP OKLAHOMA TRANSMISSION COMPANY, INC.--  Calculation of Trued-Up ARR for SPP Base Plan Upgrade Projects</v>
      </c>
      <c r="B89" s="813"/>
      <c r="C89" s="947"/>
      <c r="D89" s="948"/>
      <c r="E89" s="813"/>
      <c r="F89" s="949"/>
      <c r="G89" s="949"/>
      <c r="H89" s="813"/>
      <c r="I89" s="839"/>
      <c r="J89" s="813"/>
      <c r="K89" s="950"/>
      <c r="L89" s="951"/>
      <c r="M89" s="951"/>
      <c r="N89" s="813"/>
      <c r="O89" s="813"/>
      <c r="P89" s="951"/>
    </row>
    <row r="90" spans="1:16" ht="18">
      <c r="A90" s="813"/>
      <c r="B90" s="813"/>
      <c r="C90" s="813"/>
      <c r="D90" s="948"/>
      <c r="E90" s="813"/>
      <c r="F90" s="813"/>
      <c r="G90" s="813"/>
      <c r="H90" s="813"/>
      <c r="I90" s="839"/>
      <c r="J90" s="813"/>
      <c r="K90" s="950"/>
      <c r="L90" s="813"/>
      <c r="M90" s="813"/>
      <c r="N90" s="813"/>
      <c r="O90" s="813"/>
      <c r="P90" s="952"/>
    </row>
    <row r="91" spans="1:16" ht="18.75" thickBot="1">
      <c r="A91" s="813"/>
      <c r="B91" s="953" t="s">
        <v>310</v>
      </c>
      <c r="C91" s="954" t="s">
        <v>479</v>
      </c>
      <c r="D91" s="948"/>
      <c r="E91" s="813"/>
      <c r="F91" s="813"/>
      <c r="G91" s="813"/>
      <c r="H91" s="813"/>
      <c r="I91" s="839"/>
      <c r="J91" s="839"/>
      <c r="K91" s="844"/>
      <c r="L91" s="839"/>
      <c r="M91" s="839"/>
      <c r="N91" s="839"/>
      <c r="O91" s="844"/>
      <c r="P91" s="813"/>
    </row>
    <row r="92" spans="1:16" ht="15.75" thickBot="1">
      <c r="A92" s="813"/>
      <c r="B92" s="813"/>
      <c r="C92" s="314"/>
      <c r="D92" s="948"/>
      <c r="E92" s="813"/>
      <c r="F92" s="813"/>
      <c r="G92" s="813"/>
      <c r="H92" s="813"/>
      <c r="I92" s="839"/>
      <c r="J92" s="839"/>
      <c r="K92" s="844"/>
      <c r="L92" s="955">
        <f>+M17</f>
        <v>2022</v>
      </c>
      <c r="M92" s="956" t="s">
        <v>368</v>
      </c>
      <c r="N92" s="957" t="s">
        <v>480</v>
      </c>
      <c r="O92" s="958" t="s">
        <v>369</v>
      </c>
      <c r="P92" s="813"/>
    </row>
    <row r="93" spans="1:16" ht="15">
      <c r="A93" s="813"/>
      <c r="B93" s="813"/>
      <c r="C93" s="812" t="s">
        <v>443</v>
      </c>
      <c r="D93" s="948"/>
      <c r="E93" s="813"/>
      <c r="F93" s="813"/>
      <c r="G93" s="813"/>
      <c r="H93" s="847"/>
      <c r="I93" s="959"/>
      <c r="J93" s="813"/>
      <c r="K93" s="960"/>
      <c r="L93" s="961" t="s">
        <v>492</v>
      </c>
      <c r="M93" s="962"/>
      <c r="N93" s="962"/>
      <c r="O93" s="963">
        <v>0</v>
      </c>
      <c r="P93" s="813"/>
    </row>
    <row r="94" spans="1:16" ht="15.75">
      <c r="A94" s="813"/>
      <c r="B94" s="813"/>
      <c r="C94" s="964"/>
      <c r="D94" s="948"/>
      <c r="E94" s="813"/>
      <c r="F94" s="813"/>
      <c r="G94" s="813"/>
      <c r="H94" s="813"/>
      <c r="I94" s="854"/>
      <c r="J94" s="854"/>
      <c r="K94" s="965"/>
      <c r="L94" s="966" t="s">
        <v>493</v>
      </c>
      <c r="M94" s="967"/>
      <c r="N94" s="967"/>
      <c r="O94" s="968">
        <v>0</v>
      </c>
      <c r="P94" s="813"/>
    </row>
    <row r="95" spans="1:16" ht="13.5" thickBot="1">
      <c r="A95" s="813"/>
      <c r="B95" s="813"/>
      <c r="C95" s="969" t="s">
        <v>481</v>
      </c>
      <c r="D95" s="859"/>
      <c r="E95" s="859"/>
      <c r="F95" s="813"/>
      <c r="G95" s="813"/>
      <c r="H95" s="813"/>
      <c r="I95" s="839"/>
      <c r="J95" s="839"/>
      <c r="K95" s="912"/>
      <c r="L95" s="970" t="s">
        <v>482</v>
      </c>
      <c r="M95" s="971"/>
      <c r="N95" s="971"/>
      <c r="O95" s="972">
        <v>0</v>
      </c>
      <c r="P95" s="813"/>
    </row>
    <row r="96" spans="1:16" ht="13.5" thickBot="1">
      <c r="A96" s="813"/>
      <c r="B96" s="813"/>
      <c r="C96" s="969"/>
      <c r="D96" s="973" t="s">
        <v>334</v>
      </c>
      <c r="E96" s="974"/>
      <c r="F96" s="974"/>
      <c r="G96" s="974"/>
      <c r="H96" s="975"/>
      <c r="I96" s="839"/>
      <c r="J96" s="839"/>
      <c r="K96" s="844"/>
      <c r="L96" s="839"/>
      <c r="M96" s="839"/>
      <c r="N96" s="839"/>
      <c r="O96" s="844"/>
      <c r="P96" s="813"/>
    </row>
    <row r="97" spans="1:16" ht="13.5" thickBot="1">
      <c r="A97" s="54"/>
      <c r="B97" s="813"/>
      <c r="C97" s="976" t="s">
        <v>483</v>
      </c>
      <c r="D97" s="865"/>
      <c r="E97" s="866" t="s">
        <v>637</v>
      </c>
      <c r="F97" s="977"/>
      <c r="G97" s="977"/>
      <c r="H97" s="977"/>
      <c r="I97" s="977"/>
      <c r="J97" s="977"/>
      <c r="K97" s="978"/>
      <c r="L97" s="813"/>
      <c r="M97" s="813"/>
      <c r="N97" s="813"/>
      <c r="O97" s="813"/>
      <c r="P97" s="979"/>
    </row>
    <row r="98" spans="1:16" ht="15">
      <c r="A98" s="813"/>
      <c r="B98" s="813"/>
      <c r="C98" s="980" t="s">
        <v>447</v>
      </c>
      <c r="D98" s="981"/>
      <c r="E98" s="947" t="s">
        <v>124</v>
      </c>
      <c r="F98" s="813"/>
      <c r="G98" s="813"/>
      <c r="H98" s="982"/>
      <c r="I98" s="982"/>
      <c r="J98" s="983">
        <f>+M17</f>
        <v>2022</v>
      </c>
      <c r="K98" s="984"/>
      <c r="L98" s="844" t="s">
        <v>484</v>
      </c>
      <c r="M98" s="813"/>
      <c r="N98" s="813"/>
      <c r="O98" s="813"/>
      <c r="P98" s="950"/>
    </row>
    <row r="99" spans="1:16" ht="15">
      <c r="A99" s="813"/>
      <c r="B99" s="813"/>
      <c r="C99" s="985" t="s">
        <v>449</v>
      </c>
      <c r="D99" s="986"/>
      <c r="E99" s="985" t="s">
        <v>450</v>
      </c>
      <c r="F99" s="982"/>
      <c r="G99" s="982"/>
      <c r="H99" s="813"/>
      <c r="I99" s="813"/>
      <c r="J99" s="987">
        <v>0</v>
      </c>
      <c r="K99" s="988"/>
      <c r="L99" s="813" t="s">
        <v>486</v>
      </c>
      <c r="M99" s="813"/>
      <c r="N99" s="813"/>
      <c r="O99" s="813"/>
      <c r="P99" s="950"/>
    </row>
    <row r="100" spans="1:16" ht="15">
      <c r="A100" s="813"/>
      <c r="B100" s="813"/>
      <c r="C100" s="985" t="s">
        <v>451</v>
      </c>
      <c r="D100" s="986"/>
      <c r="E100" s="985" t="s">
        <v>452</v>
      </c>
      <c r="F100" s="982"/>
      <c r="G100" s="982"/>
      <c r="H100" s="813"/>
      <c r="I100" s="813"/>
      <c r="J100" s="989">
        <f>+F77</f>
        <v>0.11496601599681577</v>
      </c>
      <c r="K100" s="990"/>
      <c r="L100" s="813" t="s">
        <v>487</v>
      </c>
      <c r="M100" s="813"/>
      <c r="N100" s="813"/>
      <c r="O100" s="813"/>
      <c r="P100" s="950"/>
    </row>
    <row r="101" spans="1:16" ht="15">
      <c r="A101" s="813"/>
      <c r="B101" s="813"/>
      <c r="C101" s="985" t="s">
        <v>454</v>
      </c>
      <c r="D101" s="986"/>
      <c r="E101" s="985" t="s">
        <v>455</v>
      </c>
      <c r="F101" s="982"/>
      <c r="G101" s="982"/>
      <c r="H101" s="813"/>
      <c r="I101" s="813"/>
      <c r="J101" s="878">
        <f>IF(H93="",J100,F76)</f>
        <v>0.11496601599681577</v>
      </c>
      <c r="K101" s="991"/>
      <c r="L101" s="844" t="s">
        <v>456</v>
      </c>
      <c r="M101" s="991"/>
      <c r="N101" s="991"/>
      <c r="O101" s="991"/>
      <c r="P101" s="950"/>
    </row>
    <row r="102" spans="1:16" ht="15.75" thickBot="1">
      <c r="A102" s="813"/>
      <c r="B102" s="813"/>
      <c r="C102" s="985" t="s">
        <v>457</v>
      </c>
      <c r="D102" s="986"/>
      <c r="E102" s="992" t="s">
        <v>458</v>
      </c>
      <c r="F102" s="993"/>
      <c r="G102" s="993"/>
      <c r="H102" s="994"/>
      <c r="I102" s="994"/>
      <c r="J102" s="862"/>
      <c r="K102" s="844"/>
      <c r="L102" s="844"/>
      <c r="M102" s="844"/>
      <c r="N102" s="844"/>
      <c r="O102" s="844"/>
      <c r="P102" s="950"/>
    </row>
    <row r="103" spans="1:16" ht="38.25">
      <c r="A103" s="995"/>
      <c r="B103" s="995"/>
      <c r="C103" s="996" t="s">
        <v>381</v>
      </c>
      <c r="D103" s="887" t="s">
        <v>459</v>
      </c>
      <c r="E103" s="887" t="s">
        <v>460</v>
      </c>
      <c r="F103" s="887" t="s">
        <v>461</v>
      </c>
      <c r="G103" s="997" t="s">
        <v>177</v>
      </c>
      <c r="H103" s="998" t="s">
        <v>488</v>
      </c>
      <c r="I103" s="998" t="s">
        <v>463</v>
      </c>
      <c r="J103" s="996" t="s">
        <v>489</v>
      </c>
      <c r="K103" s="999"/>
      <c r="L103" s="888" t="s">
        <v>490</v>
      </c>
      <c r="M103" s="888" t="s">
        <v>491</v>
      </c>
      <c r="N103" s="888" t="s">
        <v>490</v>
      </c>
      <c r="O103" s="888" t="s">
        <v>491</v>
      </c>
      <c r="P103" s="888" t="s">
        <v>467</v>
      </c>
    </row>
    <row r="104" spans="1:16" ht="13.5" thickBot="1">
      <c r="A104" s="813"/>
      <c r="B104" s="813"/>
      <c r="C104" s="1000" t="s">
        <v>468</v>
      </c>
      <c r="D104" s="1001" t="s">
        <v>313</v>
      </c>
      <c r="E104" s="1002" t="s">
        <v>212</v>
      </c>
      <c r="F104" s="1002" t="s">
        <v>313</v>
      </c>
      <c r="G104" s="1002" t="s">
        <v>313</v>
      </c>
      <c r="H104" s="896" t="s">
        <v>469</v>
      </c>
      <c r="I104" s="891" t="s">
        <v>470</v>
      </c>
      <c r="J104" s="1002" t="s">
        <v>630</v>
      </c>
      <c r="K104" s="1003"/>
      <c r="L104" s="895" t="s">
        <v>472</v>
      </c>
      <c r="M104" s="895" t="s">
        <v>472</v>
      </c>
      <c r="N104" s="895" t="s">
        <v>631</v>
      </c>
      <c r="O104" s="895" t="s">
        <v>631</v>
      </c>
      <c r="P104" s="895" t="s">
        <v>631</v>
      </c>
    </row>
    <row r="105" spans="1:16">
      <c r="A105" s="813"/>
      <c r="B105" s="813"/>
      <c r="C105" s="1004" t="s">
        <v>485</v>
      </c>
      <c r="D105" s="1005">
        <v>0</v>
      </c>
      <c r="E105" s="906">
        <v>0</v>
      </c>
      <c r="F105" s="1006">
        <v>0</v>
      </c>
      <c r="G105" s="1007">
        <v>0</v>
      </c>
      <c r="H105" s="1008">
        <v>0</v>
      </c>
      <c r="I105" s="1009">
        <v>0</v>
      </c>
      <c r="J105" s="1010">
        <v>0</v>
      </c>
      <c r="K105" s="1010"/>
      <c r="L105" s="1011"/>
      <c r="M105" s="1012">
        <v>0</v>
      </c>
      <c r="N105" s="1011"/>
      <c r="O105" s="1012">
        <v>0</v>
      </c>
      <c r="P105" s="1012">
        <v>0</v>
      </c>
    </row>
    <row r="106" spans="1:16">
      <c r="A106" s="813"/>
      <c r="B106" s="948"/>
      <c r="C106" s="1004">
        <v>2014</v>
      </c>
      <c r="D106" s="1005">
        <v>0</v>
      </c>
      <c r="E106" s="906">
        <v>0</v>
      </c>
      <c r="F106" s="1006">
        <v>0</v>
      </c>
      <c r="G106" s="1006">
        <v>0</v>
      </c>
      <c r="H106" s="909">
        <v>0</v>
      </c>
      <c r="I106" s="1013">
        <v>0</v>
      </c>
      <c r="J106" s="1010">
        <v>0</v>
      </c>
      <c r="K106" s="1010"/>
      <c r="L106" s="1014"/>
      <c r="M106" s="1010">
        <v>0</v>
      </c>
      <c r="N106" s="1014"/>
      <c r="O106" s="1010">
        <v>0</v>
      </c>
      <c r="P106" s="1010">
        <v>0</v>
      </c>
    </row>
    <row r="107" spans="1:16">
      <c r="A107" s="813"/>
      <c r="B107" s="948" t="s">
        <v>334</v>
      </c>
      <c r="C107" s="1004">
        <v>2015</v>
      </c>
      <c r="D107" s="1005">
        <v>0</v>
      </c>
      <c r="E107" s="906">
        <v>0</v>
      </c>
      <c r="F107" s="1006">
        <v>0</v>
      </c>
      <c r="G107" s="1006">
        <v>0</v>
      </c>
      <c r="H107" s="909">
        <v>0</v>
      </c>
      <c r="I107" s="1013">
        <v>0</v>
      </c>
      <c r="J107" s="1010">
        <v>0</v>
      </c>
      <c r="K107" s="1010"/>
      <c r="L107" s="1014"/>
      <c r="M107" s="1010">
        <v>0</v>
      </c>
      <c r="N107" s="1014"/>
      <c r="O107" s="1010">
        <v>0</v>
      </c>
      <c r="P107" s="1010">
        <v>0</v>
      </c>
    </row>
    <row r="108" spans="1:16">
      <c r="A108" s="813"/>
      <c r="B108" s="948" t="s">
        <v>334</v>
      </c>
      <c r="C108" s="1004">
        <v>2016</v>
      </c>
      <c r="D108" s="1005">
        <v>0</v>
      </c>
      <c r="E108" s="906">
        <v>0</v>
      </c>
      <c r="F108" s="1006">
        <v>0</v>
      </c>
      <c r="G108" s="1006">
        <v>0</v>
      </c>
      <c r="H108" s="909">
        <v>0</v>
      </c>
      <c r="I108" s="1013">
        <v>0</v>
      </c>
      <c r="J108" s="1010">
        <v>0</v>
      </c>
      <c r="K108" s="1010"/>
      <c r="L108" s="1014"/>
      <c r="M108" s="1010">
        <v>0</v>
      </c>
      <c r="N108" s="1014"/>
      <c r="O108" s="1010">
        <v>0</v>
      </c>
      <c r="P108" s="1010">
        <v>0</v>
      </c>
    </row>
    <row r="109" spans="1:16">
      <c r="A109" s="813"/>
      <c r="B109" s="948" t="s">
        <v>334</v>
      </c>
      <c r="C109" s="1004">
        <v>2017</v>
      </c>
      <c r="D109" s="1005">
        <v>0</v>
      </c>
      <c r="E109" s="906">
        <v>0</v>
      </c>
      <c r="F109" s="1006">
        <v>0</v>
      </c>
      <c r="G109" s="1006">
        <v>0</v>
      </c>
      <c r="H109" s="909">
        <v>0</v>
      </c>
      <c r="I109" s="1013">
        <v>0</v>
      </c>
      <c r="J109" s="1010">
        <v>0</v>
      </c>
      <c r="K109" s="1010"/>
      <c r="L109" s="1014"/>
      <c r="M109" s="1010">
        <v>0</v>
      </c>
      <c r="N109" s="1014"/>
      <c r="O109" s="1010">
        <v>0</v>
      </c>
      <c r="P109" s="1010">
        <v>0</v>
      </c>
    </row>
    <row r="110" spans="1:16">
      <c r="A110" s="813"/>
      <c r="B110" s="948" t="s">
        <v>334</v>
      </c>
      <c r="C110" s="1004">
        <v>2018</v>
      </c>
      <c r="D110" s="1005">
        <v>0</v>
      </c>
      <c r="E110" s="906">
        <v>0</v>
      </c>
      <c r="F110" s="1006">
        <v>0</v>
      </c>
      <c r="G110" s="1006">
        <v>0</v>
      </c>
      <c r="H110" s="909">
        <v>0</v>
      </c>
      <c r="I110" s="1013">
        <v>0</v>
      </c>
      <c r="J110" s="1010">
        <v>0</v>
      </c>
      <c r="K110" s="1010"/>
      <c r="L110" s="1014"/>
      <c r="M110" s="1010">
        <v>0</v>
      </c>
      <c r="N110" s="1014"/>
      <c r="O110" s="1010">
        <v>0</v>
      </c>
      <c r="P110" s="1010">
        <v>0</v>
      </c>
    </row>
    <row r="111" spans="1:16">
      <c r="A111" s="813"/>
      <c r="B111" s="948" t="s">
        <v>334</v>
      </c>
      <c r="C111" s="1004">
        <v>2019</v>
      </c>
      <c r="D111" s="1005">
        <v>0</v>
      </c>
      <c r="E111" s="906">
        <v>0</v>
      </c>
      <c r="F111" s="1006">
        <v>0</v>
      </c>
      <c r="G111" s="1006">
        <v>0</v>
      </c>
      <c r="H111" s="909">
        <v>0</v>
      </c>
      <c r="I111" s="1013">
        <v>0</v>
      </c>
      <c r="J111" s="1010">
        <v>0</v>
      </c>
      <c r="K111" s="1010"/>
      <c r="L111" s="1014"/>
      <c r="M111" s="1010">
        <v>0</v>
      </c>
      <c r="N111" s="1014"/>
      <c r="O111" s="1010">
        <v>0</v>
      </c>
      <c r="P111" s="1010">
        <v>0</v>
      </c>
    </row>
    <row r="112" spans="1:16">
      <c r="A112" s="813"/>
      <c r="B112" s="948" t="s">
        <v>334</v>
      </c>
      <c r="C112" s="1004">
        <v>2020</v>
      </c>
      <c r="D112" s="1005">
        <v>0</v>
      </c>
      <c r="E112" s="906">
        <v>0</v>
      </c>
      <c r="F112" s="1006">
        <v>0</v>
      </c>
      <c r="G112" s="1006">
        <v>0</v>
      </c>
      <c r="H112" s="909">
        <v>0</v>
      </c>
      <c r="I112" s="1013">
        <v>0</v>
      </c>
      <c r="J112" s="1010">
        <v>0</v>
      </c>
      <c r="K112" s="1010"/>
      <c r="L112" s="1014"/>
      <c r="M112" s="1010">
        <v>0</v>
      </c>
      <c r="N112" s="1014"/>
      <c r="O112" s="1010">
        <v>0</v>
      </c>
      <c r="P112" s="1010">
        <v>0</v>
      </c>
    </row>
    <row r="113" spans="1:16">
      <c r="A113" s="813"/>
      <c r="B113" s="948" t="s">
        <v>334</v>
      </c>
      <c r="C113" s="1004">
        <v>2021</v>
      </c>
      <c r="D113" s="1005">
        <v>0</v>
      </c>
      <c r="E113" s="906">
        <v>0</v>
      </c>
      <c r="F113" s="1006">
        <v>0</v>
      </c>
      <c r="G113" s="1006">
        <v>0</v>
      </c>
      <c r="H113" s="909">
        <v>0</v>
      </c>
      <c r="I113" s="1013">
        <v>0</v>
      </c>
      <c r="J113" s="1010">
        <v>0</v>
      </c>
      <c r="K113" s="1010"/>
      <c r="L113" s="1014"/>
      <c r="M113" s="1010">
        <v>0</v>
      </c>
      <c r="N113" s="1014"/>
      <c r="O113" s="1010">
        <v>0</v>
      </c>
      <c r="P113" s="1010">
        <v>0</v>
      </c>
    </row>
    <row r="114" spans="1:16">
      <c r="A114" s="813"/>
      <c r="B114" s="948" t="s">
        <v>334</v>
      </c>
      <c r="C114" s="1004">
        <v>2022</v>
      </c>
      <c r="D114" s="1005">
        <v>0</v>
      </c>
      <c r="E114" s="906">
        <v>0</v>
      </c>
      <c r="F114" s="1006">
        <v>0</v>
      </c>
      <c r="G114" s="1006">
        <v>0</v>
      </c>
      <c r="H114" s="909">
        <v>0</v>
      </c>
      <c r="I114" s="1013">
        <v>0</v>
      </c>
      <c r="J114" s="1010">
        <v>0</v>
      </c>
      <c r="K114" s="1010"/>
      <c r="L114" s="1014"/>
      <c r="M114" s="1010">
        <v>0</v>
      </c>
      <c r="N114" s="1014"/>
      <c r="O114" s="1010">
        <v>0</v>
      </c>
      <c r="P114" s="1010">
        <v>0</v>
      </c>
    </row>
    <row r="115" spans="1:16">
      <c r="A115" s="813"/>
      <c r="B115" s="948" t="s">
        <v>334</v>
      </c>
      <c r="C115" s="1004">
        <v>2023</v>
      </c>
      <c r="D115" s="1005">
        <v>0</v>
      </c>
      <c r="E115" s="906">
        <v>0</v>
      </c>
      <c r="F115" s="1006">
        <v>0</v>
      </c>
      <c r="G115" s="1006">
        <v>0</v>
      </c>
      <c r="H115" s="909">
        <v>0</v>
      </c>
      <c r="I115" s="1013">
        <v>0</v>
      </c>
      <c r="J115" s="1010">
        <v>0</v>
      </c>
      <c r="K115" s="1010"/>
      <c r="L115" s="1014"/>
      <c r="M115" s="1010">
        <v>0</v>
      </c>
      <c r="N115" s="1014"/>
      <c r="O115" s="1010">
        <v>0</v>
      </c>
      <c r="P115" s="1010">
        <v>0</v>
      </c>
    </row>
    <row r="116" spans="1:16">
      <c r="A116" s="813"/>
      <c r="B116" s="948" t="s">
        <v>334</v>
      </c>
      <c r="C116" s="1004">
        <v>2024</v>
      </c>
      <c r="D116" s="1005">
        <v>0</v>
      </c>
      <c r="E116" s="906">
        <v>0</v>
      </c>
      <c r="F116" s="1006">
        <v>0</v>
      </c>
      <c r="G116" s="1006">
        <v>0</v>
      </c>
      <c r="H116" s="909">
        <v>0</v>
      </c>
      <c r="I116" s="1013">
        <v>0</v>
      </c>
      <c r="J116" s="1010">
        <v>0</v>
      </c>
      <c r="K116" s="1010"/>
      <c r="L116" s="1014"/>
      <c r="M116" s="1010">
        <v>0</v>
      </c>
      <c r="N116" s="1014"/>
      <c r="O116" s="1010">
        <v>0</v>
      </c>
      <c r="P116" s="1010">
        <v>0</v>
      </c>
    </row>
    <row r="117" spans="1:16">
      <c r="A117" s="813"/>
      <c r="B117" s="948" t="s">
        <v>334</v>
      </c>
      <c r="C117" s="1004">
        <v>2025</v>
      </c>
      <c r="D117" s="1005">
        <v>0</v>
      </c>
      <c r="E117" s="906">
        <v>0</v>
      </c>
      <c r="F117" s="1006">
        <v>0</v>
      </c>
      <c r="G117" s="1006">
        <v>0</v>
      </c>
      <c r="H117" s="909">
        <v>0</v>
      </c>
      <c r="I117" s="1013">
        <v>0</v>
      </c>
      <c r="J117" s="1010">
        <v>0</v>
      </c>
      <c r="K117" s="1010"/>
      <c r="L117" s="1014"/>
      <c r="M117" s="1010">
        <v>0</v>
      </c>
      <c r="N117" s="1014"/>
      <c r="O117" s="1010">
        <v>0</v>
      </c>
      <c r="P117" s="1010">
        <v>0</v>
      </c>
    </row>
    <row r="118" spans="1:16">
      <c r="A118" s="813"/>
      <c r="B118" s="948" t="s">
        <v>334</v>
      </c>
      <c r="C118" s="1004">
        <v>2026</v>
      </c>
      <c r="D118" s="1005">
        <v>0</v>
      </c>
      <c r="E118" s="906">
        <v>0</v>
      </c>
      <c r="F118" s="1006">
        <v>0</v>
      </c>
      <c r="G118" s="1006">
        <v>0</v>
      </c>
      <c r="H118" s="909">
        <v>0</v>
      </c>
      <c r="I118" s="1013">
        <v>0</v>
      </c>
      <c r="J118" s="1010">
        <v>0</v>
      </c>
      <c r="K118" s="1010"/>
      <c r="L118" s="1014"/>
      <c r="M118" s="1010">
        <v>0</v>
      </c>
      <c r="N118" s="1014"/>
      <c r="O118" s="1010">
        <v>0</v>
      </c>
      <c r="P118" s="1010">
        <v>0</v>
      </c>
    </row>
    <row r="119" spans="1:16">
      <c r="B119" s="948" t="s">
        <v>334</v>
      </c>
      <c r="C119" s="1004">
        <v>2027</v>
      </c>
      <c r="D119" s="1005">
        <v>0</v>
      </c>
      <c r="E119" s="906">
        <v>0</v>
      </c>
      <c r="F119" s="1006">
        <v>0</v>
      </c>
      <c r="G119" s="1006">
        <v>0</v>
      </c>
      <c r="H119" s="909">
        <v>0</v>
      </c>
      <c r="I119" s="1013">
        <v>0</v>
      </c>
      <c r="J119" s="1010">
        <v>0</v>
      </c>
      <c r="K119" s="1010"/>
      <c r="L119" s="1014"/>
      <c r="M119" s="1010">
        <v>0</v>
      </c>
      <c r="N119" s="1014"/>
      <c r="O119" s="1010">
        <v>0</v>
      </c>
      <c r="P119" s="1010">
        <v>0</v>
      </c>
    </row>
    <row r="120" spans="1:16">
      <c r="B120" s="948" t="s">
        <v>334</v>
      </c>
      <c r="C120" s="1004">
        <v>2028</v>
      </c>
      <c r="D120" s="1005">
        <v>0</v>
      </c>
      <c r="E120" s="906">
        <v>0</v>
      </c>
      <c r="F120" s="1006">
        <v>0</v>
      </c>
      <c r="G120" s="1006">
        <v>0</v>
      </c>
      <c r="H120" s="909">
        <v>0</v>
      </c>
      <c r="I120" s="1013">
        <v>0</v>
      </c>
      <c r="J120" s="1010">
        <v>0</v>
      </c>
      <c r="K120" s="1010"/>
      <c r="L120" s="1014"/>
      <c r="M120" s="1010">
        <v>0</v>
      </c>
      <c r="N120" s="1014"/>
      <c r="O120" s="1010">
        <v>0</v>
      </c>
      <c r="P120" s="1010">
        <v>0</v>
      </c>
    </row>
    <row r="121" spans="1:16">
      <c r="B121" s="948" t="s">
        <v>334</v>
      </c>
      <c r="C121" s="1004">
        <v>2029</v>
      </c>
      <c r="D121" s="1005">
        <v>0</v>
      </c>
      <c r="E121" s="906">
        <v>0</v>
      </c>
      <c r="F121" s="1006">
        <v>0</v>
      </c>
      <c r="G121" s="1006">
        <v>0</v>
      </c>
      <c r="H121" s="909">
        <v>0</v>
      </c>
      <c r="I121" s="1013">
        <v>0</v>
      </c>
      <c r="J121" s="1010">
        <v>0</v>
      </c>
      <c r="K121" s="1010"/>
      <c r="L121" s="1014"/>
      <c r="M121" s="1010">
        <v>0</v>
      </c>
      <c r="N121" s="1014"/>
      <c r="O121" s="1010">
        <v>0</v>
      </c>
      <c r="P121" s="1010">
        <v>0</v>
      </c>
    </row>
    <row r="122" spans="1:16">
      <c r="B122" s="948" t="s">
        <v>334</v>
      </c>
      <c r="C122" s="1004">
        <v>2030</v>
      </c>
      <c r="D122" s="1005">
        <v>0</v>
      </c>
      <c r="E122" s="906">
        <v>0</v>
      </c>
      <c r="F122" s="1006">
        <v>0</v>
      </c>
      <c r="G122" s="1006">
        <v>0</v>
      </c>
      <c r="H122" s="909">
        <v>0</v>
      </c>
      <c r="I122" s="1013">
        <v>0</v>
      </c>
      <c r="J122" s="1010">
        <v>0</v>
      </c>
      <c r="K122" s="1010"/>
      <c r="L122" s="1014"/>
      <c r="M122" s="1010">
        <v>0</v>
      </c>
      <c r="N122" s="1014"/>
      <c r="O122" s="1010">
        <v>0</v>
      </c>
      <c r="P122" s="1010">
        <v>0</v>
      </c>
    </row>
    <row r="123" spans="1:16">
      <c r="B123" s="948" t="s">
        <v>334</v>
      </c>
      <c r="C123" s="1004">
        <v>2031</v>
      </c>
      <c r="D123" s="1005">
        <v>0</v>
      </c>
      <c r="E123" s="906">
        <v>0</v>
      </c>
      <c r="F123" s="1006">
        <v>0</v>
      </c>
      <c r="G123" s="1006">
        <v>0</v>
      </c>
      <c r="H123" s="909">
        <v>0</v>
      </c>
      <c r="I123" s="1013">
        <v>0</v>
      </c>
      <c r="J123" s="1010">
        <v>0</v>
      </c>
      <c r="K123" s="1010"/>
      <c r="L123" s="1014"/>
      <c r="M123" s="1010">
        <v>0</v>
      </c>
      <c r="N123" s="1014"/>
      <c r="O123" s="1010">
        <v>0</v>
      </c>
      <c r="P123" s="1010">
        <v>0</v>
      </c>
    </row>
    <row r="124" spans="1:16">
      <c r="B124" s="948" t="s">
        <v>334</v>
      </c>
      <c r="C124" s="1004">
        <v>2032</v>
      </c>
      <c r="D124" s="1005">
        <v>0</v>
      </c>
      <c r="E124" s="906">
        <v>0</v>
      </c>
      <c r="F124" s="1006">
        <v>0</v>
      </c>
      <c r="G124" s="1006">
        <v>0</v>
      </c>
      <c r="H124" s="909">
        <v>0</v>
      </c>
      <c r="I124" s="1013">
        <v>0</v>
      </c>
      <c r="J124" s="1010">
        <v>0</v>
      </c>
      <c r="K124" s="1010"/>
      <c r="L124" s="1014"/>
      <c r="M124" s="1010">
        <v>0</v>
      </c>
      <c r="N124" s="1014"/>
      <c r="O124" s="1010">
        <v>0</v>
      </c>
      <c r="P124" s="1010">
        <v>0</v>
      </c>
    </row>
    <row r="125" spans="1:16">
      <c r="B125" s="948" t="s">
        <v>334</v>
      </c>
      <c r="C125" s="1004">
        <v>2033</v>
      </c>
      <c r="D125" s="1005">
        <v>0</v>
      </c>
      <c r="E125" s="906">
        <v>0</v>
      </c>
      <c r="F125" s="1006">
        <v>0</v>
      </c>
      <c r="G125" s="1006">
        <v>0</v>
      </c>
      <c r="H125" s="909">
        <v>0</v>
      </c>
      <c r="I125" s="1013">
        <v>0</v>
      </c>
      <c r="J125" s="1010">
        <v>0</v>
      </c>
      <c r="K125" s="1010"/>
      <c r="L125" s="1014"/>
      <c r="M125" s="1010">
        <v>0</v>
      </c>
      <c r="N125" s="1014"/>
      <c r="O125" s="1010">
        <v>0</v>
      </c>
      <c r="P125" s="1010">
        <v>0</v>
      </c>
    </row>
    <row r="126" spans="1:16">
      <c r="B126" s="948" t="s">
        <v>334</v>
      </c>
      <c r="C126" s="1004">
        <v>2034</v>
      </c>
      <c r="D126" s="1005">
        <v>0</v>
      </c>
      <c r="E126" s="906">
        <v>0</v>
      </c>
      <c r="F126" s="1006">
        <v>0</v>
      </c>
      <c r="G126" s="1006">
        <v>0</v>
      </c>
      <c r="H126" s="909">
        <v>0</v>
      </c>
      <c r="I126" s="1013">
        <v>0</v>
      </c>
      <c r="J126" s="1010">
        <v>0</v>
      </c>
      <c r="K126" s="1010"/>
      <c r="L126" s="1014"/>
      <c r="M126" s="1010">
        <v>0</v>
      </c>
      <c r="N126" s="1014"/>
      <c r="O126" s="1010">
        <v>0</v>
      </c>
      <c r="P126" s="1010">
        <v>0</v>
      </c>
    </row>
    <row r="127" spans="1:16">
      <c r="B127" s="948" t="s">
        <v>334</v>
      </c>
      <c r="C127" s="1004">
        <v>2035</v>
      </c>
      <c r="D127" s="1005">
        <v>0</v>
      </c>
      <c r="E127" s="906">
        <v>0</v>
      </c>
      <c r="F127" s="1006">
        <v>0</v>
      </c>
      <c r="G127" s="1006">
        <v>0</v>
      </c>
      <c r="H127" s="909">
        <v>0</v>
      </c>
      <c r="I127" s="1013">
        <v>0</v>
      </c>
      <c r="J127" s="1010">
        <v>0</v>
      </c>
      <c r="K127" s="1010"/>
      <c r="L127" s="1014"/>
      <c r="M127" s="1010">
        <v>0</v>
      </c>
      <c r="N127" s="1014"/>
      <c r="O127" s="1010">
        <v>0</v>
      </c>
      <c r="P127" s="1010">
        <v>0</v>
      </c>
    </row>
    <row r="128" spans="1:16">
      <c r="B128" s="948" t="s">
        <v>334</v>
      </c>
      <c r="C128" s="1004">
        <v>2036</v>
      </c>
      <c r="D128" s="1005">
        <v>0</v>
      </c>
      <c r="E128" s="906">
        <v>0</v>
      </c>
      <c r="F128" s="1006">
        <v>0</v>
      </c>
      <c r="G128" s="1006">
        <v>0</v>
      </c>
      <c r="H128" s="909">
        <v>0</v>
      </c>
      <c r="I128" s="1013">
        <v>0</v>
      </c>
      <c r="J128" s="1010">
        <v>0</v>
      </c>
      <c r="K128" s="1010"/>
      <c r="L128" s="1014"/>
      <c r="M128" s="1010">
        <v>0</v>
      </c>
      <c r="N128" s="1014"/>
      <c r="O128" s="1010">
        <v>0</v>
      </c>
      <c r="P128" s="1010">
        <v>0</v>
      </c>
    </row>
    <row r="129" spans="2:18">
      <c r="B129" s="948" t="s">
        <v>334</v>
      </c>
      <c r="C129" s="1004">
        <v>2037</v>
      </c>
      <c r="D129" s="1005">
        <v>0</v>
      </c>
      <c r="E129" s="906">
        <v>0</v>
      </c>
      <c r="F129" s="1006">
        <v>0</v>
      </c>
      <c r="G129" s="1006">
        <v>0</v>
      </c>
      <c r="H129" s="909">
        <v>0</v>
      </c>
      <c r="I129" s="1013">
        <v>0</v>
      </c>
      <c r="J129" s="1010">
        <v>0</v>
      </c>
      <c r="K129" s="1010"/>
      <c r="L129" s="1014"/>
      <c r="M129" s="1010">
        <v>0</v>
      </c>
      <c r="N129" s="1014"/>
      <c r="O129" s="1010">
        <v>0</v>
      </c>
      <c r="P129" s="1010">
        <v>0</v>
      </c>
    </row>
    <row r="130" spans="2:18">
      <c r="B130" s="948" t="s">
        <v>334</v>
      </c>
      <c r="C130" s="1004">
        <v>2038</v>
      </c>
      <c r="D130" s="1005">
        <v>0</v>
      </c>
      <c r="E130" s="906">
        <v>0</v>
      </c>
      <c r="F130" s="1006">
        <v>0</v>
      </c>
      <c r="G130" s="1006">
        <v>0</v>
      </c>
      <c r="H130" s="909">
        <v>0</v>
      </c>
      <c r="I130" s="1013">
        <v>0</v>
      </c>
      <c r="J130" s="1010">
        <v>0</v>
      </c>
      <c r="K130" s="1010"/>
      <c r="L130" s="1014"/>
      <c r="M130" s="1010">
        <v>0</v>
      </c>
      <c r="N130" s="1014"/>
      <c r="O130" s="1010">
        <v>0</v>
      </c>
      <c r="P130" s="1010">
        <v>0</v>
      </c>
    </row>
    <row r="131" spans="2:18">
      <c r="B131" s="948" t="s">
        <v>334</v>
      </c>
      <c r="C131" s="1004">
        <v>2039</v>
      </c>
      <c r="D131" s="1005">
        <v>0</v>
      </c>
      <c r="E131" s="906">
        <v>0</v>
      </c>
      <c r="F131" s="1006">
        <v>0</v>
      </c>
      <c r="G131" s="1006">
        <v>0</v>
      </c>
      <c r="H131" s="909">
        <v>0</v>
      </c>
      <c r="I131" s="1013">
        <v>0</v>
      </c>
      <c r="J131" s="1010">
        <v>0</v>
      </c>
      <c r="K131" s="1010"/>
      <c r="L131" s="1014"/>
      <c r="M131" s="1010">
        <v>0</v>
      </c>
      <c r="N131" s="1014"/>
      <c r="O131" s="1010">
        <v>0</v>
      </c>
      <c r="P131" s="1010">
        <v>0</v>
      </c>
    </row>
    <row r="132" spans="2:18">
      <c r="B132" s="948" t="s">
        <v>334</v>
      </c>
      <c r="C132" s="1004">
        <v>2040</v>
      </c>
      <c r="D132" s="1005">
        <v>0</v>
      </c>
      <c r="E132" s="906">
        <v>0</v>
      </c>
      <c r="F132" s="1006">
        <v>0</v>
      </c>
      <c r="G132" s="1006">
        <v>0</v>
      </c>
      <c r="H132" s="909">
        <v>0</v>
      </c>
      <c r="I132" s="1013">
        <v>0</v>
      </c>
      <c r="J132" s="1010">
        <v>0</v>
      </c>
      <c r="K132" s="1010"/>
      <c r="L132" s="1014"/>
      <c r="M132" s="1010">
        <v>0</v>
      </c>
      <c r="N132" s="1014"/>
      <c r="O132" s="1010">
        <v>0</v>
      </c>
      <c r="P132" s="1010">
        <v>0</v>
      </c>
      <c r="R132" s="929"/>
    </row>
    <row r="133" spans="2:18">
      <c r="B133" s="948" t="s">
        <v>334</v>
      </c>
      <c r="C133" s="1004">
        <v>2041</v>
      </c>
      <c r="D133" s="1005">
        <v>0</v>
      </c>
      <c r="E133" s="906">
        <v>0</v>
      </c>
      <c r="F133" s="1006">
        <v>0</v>
      </c>
      <c r="G133" s="1006">
        <v>0</v>
      </c>
      <c r="H133" s="909">
        <v>0</v>
      </c>
      <c r="I133" s="1013">
        <v>0</v>
      </c>
      <c r="J133" s="1010">
        <v>0</v>
      </c>
      <c r="K133" s="1010"/>
      <c r="L133" s="1014"/>
      <c r="M133" s="1010">
        <v>0</v>
      </c>
      <c r="N133" s="1014"/>
      <c r="O133" s="1010">
        <v>0</v>
      </c>
      <c r="P133" s="1010">
        <v>0</v>
      </c>
      <c r="R133" s="493"/>
    </row>
    <row r="134" spans="2:18">
      <c r="B134" s="948" t="s">
        <v>334</v>
      </c>
      <c r="C134" s="1004">
        <v>2042</v>
      </c>
      <c r="D134" s="1005">
        <v>0</v>
      </c>
      <c r="E134" s="906">
        <v>0</v>
      </c>
      <c r="F134" s="1006">
        <v>0</v>
      </c>
      <c r="G134" s="1006">
        <v>0</v>
      </c>
      <c r="H134" s="909">
        <v>0</v>
      </c>
      <c r="I134" s="1013">
        <v>0</v>
      </c>
      <c r="J134" s="1010">
        <v>0</v>
      </c>
      <c r="K134" s="1010"/>
      <c r="L134" s="1014"/>
      <c r="M134" s="1010">
        <v>0</v>
      </c>
      <c r="N134" s="1014"/>
      <c r="O134" s="1010">
        <v>0</v>
      </c>
      <c r="P134" s="1010">
        <v>0</v>
      </c>
      <c r="R134" s="493"/>
    </row>
    <row r="135" spans="2:18">
      <c r="B135" s="948" t="s">
        <v>334</v>
      </c>
      <c r="C135" s="1004">
        <v>2043</v>
      </c>
      <c r="D135" s="1005">
        <v>0</v>
      </c>
      <c r="E135" s="906">
        <v>0</v>
      </c>
      <c r="F135" s="1006">
        <v>0</v>
      </c>
      <c r="G135" s="1006">
        <v>0</v>
      </c>
      <c r="H135" s="909">
        <v>0</v>
      </c>
      <c r="I135" s="1013">
        <v>0</v>
      </c>
      <c r="J135" s="1010">
        <v>0</v>
      </c>
      <c r="K135" s="1010"/>
      <c r="L135" s="1014"/>
      <c r="M135" s="1010">
        <v>0</v>
      </c>
      <c r="N135" s="1014"/>
      <c r="O135" s="1010">
        <v>0</v>
      </c>
      <c r="P135" s="1010">
        <v>0</v>
      </c>
      <c r="R135" s="493"/>
    </row>
    <row r="136" spans="2:18">
      <c r="B136" s="948" t="s">
        <v>334</v>
      </c>
      <c r="C136" s="1004">
        <v>2044</v>
      </c>
      <c r="D136" s="1005">
        <v>0</v>
      </c>
      <c r="E136" s="906">
        <v>0</v>
      </c>
      <c r="F136" s="1006">
        <v>0</v>
      </c>
      <c r="G136" s="1006">
        <v>0</v>
      </c>
      <c r="H136" s="909">
        <v>0</v>
      </c>
      <c r="I136" s="1013">
        <v>0</v>
      </c>
      <c r="J136" s="1010">
        <v>0</v>
      </c>
      <c r="K136" s="1010"/>
      <c r="L136" s="1014"/>
      <c r="M136" s="1010">
        <v>0</v>
      </c>
      <c r="N136" s="1014"/>
      <c r="O136" s="1010">
        <v>0</v>
      </c>
      <c r="P136" s="1010">
        <v>0</v>
      </c>
      <c r="R136" s="493"/>
    </row>
    <row r="137" spans="2:18">
      <c r="B137" s="948" t="s">
        <v>334</v>
      </c>
      <c r="C137" s="1004">
        <v>2045</v>
      </c>
      <c r="D137" s="1005">
        <v>0</v>
      </c>
      <c r="E137" s="906">
        <v>0</v>
      </c>
      <c r="F137" s="1006">
        <v>0</v>
      </c>
      <c r="G137" s="1006">
        <v>0</v>
      </c>
      <c r="H137" s="909">
        <v>0</v>
      </c>
      <c r="I137" s="1013">
        <v>0</v>
      </c>
      <c r="J137" s="1010">
        <v>0</v>
      </c>
      <c r="K137" s="1010"/>
      <c r="L137" s="1014"/>
      <c r="M137" s="1010">
        <v>0</v>
      </c>
      <c r="N137" s="1014"/>
      <c r="O137" s="1010">
        <v>0</v>
      </c>
      <c r="P137" s="1010">
        <v>0</v>
      </c>
      <c r="R137" s="493"/>
    </row>
    <row r="138" spans="2:18">
      <c r="B138" s="948" t="s">
        <v>334</v>
      </c>
      <c r="C138" s="1004">
        <v>2046</v>
      </c>
      <c r="D138" s="1005">
        <v>0</v>
      </c>
      <c r="E138" s="906">
        <v>0</v>
      </c>
      <c r="F138" s="1006">
        <v>0</v>
      </c>
      <c r="G138" s="1006">
        <v>0</v>
      </c>
      <c r="H138" s="909">
        <v>0</v>
      </c>
      <c r="I138" s="1013">
        <v>0</v>
      </c>
      <c r="J138" s="1010">
        <v>0</v>
      </c>
      <c r="K138" s="1010"/>
      <c r="L138" s="1014"/>
      <c r="M138" s="1010">
        <v>0</v>
      </c>
      <c r="N138" s="1014"/>
      <c r="O138" s="1010">
        <v>0</v>
      </c>
      <c r="P138" s="1010">
        <v>0</v>
      </c>
      <c r="R138" s="493"/>
    </row>
    <row r="139" spans="2:18">
      <c r="B139" s="948" t="s">
        <v>334</v>
      </c>
      <c r="C139" s="1004">
        <v>2047</v>
      </c>
      <c r="D139" s="1005">
        <v>0</v>
      </c>
      <c r="E139" s="906">
        <v>0</v>
      </c>
      <c r="F139" s="1006">
        <v>0</v>
      </c>
      <c r="G139" s="1006">
        <v>0</v>
      </c>
      <c r="H139" s="909">
        <v>0</v>
      </c>
      <c r="I139" s="1013">
        <v>0</v>
      </c>
      <c r="J139" s="1010">
        <v>0</v>
      </c>
      <c r="K139" s="1010"/>
      <c r="L139" s="1014"/>
      <c r="M139" s="1010">
        <v>0</v>
      </c>
      <c r="N139" s="1014"/>
      <c r="O139" s="1010">
        <v>0</v>
      </c>
      <c r="P139" s="1010">
        <v>0</v>
      </c>
      <c r="R139" s="493"/>
    </row>
    <row r="140" spans="2:18">
      <c r="B140" s="948" t="s">
        <v>334</v>
      </c>
      <c r="C140" s="1004">
        <v>2048</v>
      </c>
      <c r="D140" s="1005">
        <v>0</v>
      </c>
      <c r="E140" s="906">
        <v>0</v>
      </c>
      <c r="F140" s="1006">
        <v>0</v>
      </c>
      <c r="G140" s="1006">
        <v>0</v>
      </c>
      <c r="H140" s="909">
        <v>0</v>
      </c>
      <c r="I140" s="1013">
        <v>0</v>
      </c>
      <c r="J140" s="1010">
        <v>0</v>
      </c>
      <c r="K140" s="1010"/>
      <c r="L140" s="1014"/>
      <c r="M140" s="1010">
        <v>0</v>
      </c>
      <c r="N140" s="1014"/>
      <c r="O140" s="1010">
        <v>0</v>
      </c>
      <c r="P140" s="1010">
        <v>0</v>
      </c>
      <c r="R140" s="493"/>
    </row>
    <row r="141" spans="2:18">
      <c r="B141" s="948" t="s">
        <v>334</v>
      </c>
      <c r="C141" s="1004">
        <v>2049</v>
      </c>
      <c r="D141" s="1005">
        <v>0</v>
      </c>
      <c r="E141" s="906">
        <v>0</v>
      </c>
      <c r="F141" s="1006">
        <v>0</v>
      </c>
      <c r="G141" s="1006">
        <v>0</v>
      </c>
      <c r="H141" s="909">
        <v>0</v>
      </c>
      <c r="I141" s="1013">
        <v>0</v>
      </c>
      <c r="J141" s="1010">
        <v>0</v>
      </c>
      <c r="K141" s="1010"/>
      <c r="L141" s="1014"/>
      <c r="M141" s="1010">
        <v>0</v>
      </c>
      <c r="N141" s="1014"/>
      <c r="O141" s="1010">
        <v>0</v>
      </c>
      <c r="P141" s="1010">
        <v>0</v>
      </c>
      <c r="R141" s="493"/>
    </row>
    <row r="142" spans="2:18">
      <c r="B142" s="948" t="s">
        <v>334</v>
      </c>
      <c r="C142" s="1004">
        <v>2050</v>
      </c>
      <c r="D142" s="1005">
        <v>0</v>
      </c>
      <c r="E142" s="906">
        <v>0</v>
      </c>
      <c r="F142" s="1006">
        <v>0</v>
      </c>
      <c r="G142" s="1006">
        <v>0</v>
      </c>
      <c r="H142" s="909">
        <v>0</v>
      </c>
      <c r="I142" s="1013">
        <v>0</v>
      </c>
      <c r="J142" s="1010">
        <v>0</v>
      </c>
      <c r="K142" s="1010"/>
      <c r="L142" s="1014"/>
      <c r="M142" s="1010">
        <v>0</v>
      </c>
      <c r="N142" s="1014"/>
      <c r="O142" s="1010">
        <v>0</v>
      </c>
      <c r="P142" s="1010">
        <v>0</v>
      </c>
      <c r="R142" s="493"/>
    </row>
    <row r="143" spans="2:18">
      <c r="B143" s="948" t="s">
        <v>334</v>
      </c>
      <c r="C143" s="1004">
        <v>2051</v>
      </c>
      <c r="D143" s="1005">
        <v>0</v>
      </c>
      <c r="E143" s="906">
        <v>0</v>
      </c>
      <c r="F143" s="1006">
        <v>0</v>
      </c>
      <c r="G143" s="1006">
        <v>0</v>
      </c>
      <c r="H143" s="909">
        <v>0</v>
      </c>
      <c r="I143" s="1013">
        <v>0</v>
      </c>
      <c r="J143" s="1010">
        <v>0</v>
      </c>
      <c r="K143" s="1010"/>
      <c r="L143" s="1014"/>
      <c r="M143" s="1010">
        <v>0</v>
      </c>
      <c r="N143" s="1014"/>
      <c r="O143" s="1010">
        <v>0</v>
      </c>
      <c r="P143" s="1010">
        <v>0</v>
      </c>
      <c r="R143" s="493"/>
    </row>
    <row r="144" spans="2:18">
      <c r="B144" s="948" t="s">
        <v>334</v>
      </c>
      <c r="C144" s="1004">
        <v>2052</v>
      </c>
      <c r="D144" s="1005">
        <v>0</v>
      </c>
      <c r="E144" s="906">
        <v>0</v>
      </c>
      <c r="F144" s="1006">
        <v>0</v>
      </c>
      <c r="G144" s="1006">
        <v>0</v>
      </c>
      <c r="H144" s="909">
        <v>0</v>
      </c>
      <c r="I144" s="1013">
        <v>0</v>
      </c>
      <c r="J144" s="1010">
        <v>0</v>
      </c>
      <c r="K144" s="1010"/>
      <c r="L144" s="1014"/>
      <c r="M144" s="1010">
        <v>0</v>
      </c>
      <c r="N144" s="1014"/>
      <c r="O144" s="1010">
        <v>0</v>
      </c>
      <c r="P144" s="1010">
        <v>0</v>
      </c>
      <c r="R144" s="493"/>
    </row>
    <row r="145" spans="2:18">
      <c r="B145" s="948" t="s">
        <v>334</v>
      </c>
      <c r="C145" s="1004">
        <v>2053</v>
      </c>
      <c r="D145" s="1005">
        <v>0</v>
      </c>
      <c r="E145" s="906">
        <v>0</v>
      </c>
      <c r="F145" s="1006">
        <v>0</v>
      </c>
      <c r="G145" s="1006">
        <v>0</v>
      </c>
      <c r="H145" s="909">
        <v>0</v>
      </c>
      <c r="I145" s="1013">
        <v>0</v>
      </c>
      <c r="J145" s="1010">
        <v>0</v>
      </c>
      <c r="K145" s="1010"/>
      <c r="L145" s="1014"/>
      <c r="M145" s="1010">
        <v>0</v>
      </c>
      <c r="N145" s="1014"/>
      <c r="O145" s="1010">
        <v>0</v>
      </c>
      <c r="P145" s="1010">
        <v>0</v>
      </c>
      <c r="R145" s="493"/>
    </row>
    <row r="146" spans="2:18">
      <c r="B146" s="948" t="s">
        <v>334</v>
      </c>
      <c r="C146" s="1004">
        <v>2054</v>
      </c>
      <c r="D146" s="1005">
        <v>0</v>
      </c>
      <c r="E146" s="906">
        <v>0</v>
      </c>
      <c r="F146" s="1006">
        <v>0</v>
      </c>
      <c r="G146" s="1006">
        <v>0</v>
      </c>
      <c r="H146" s="909">
        <v>0</v>
      </c>
      <c r="I146" s="1013">
        <v>0</v>
      </c>
      <c r="J146" s="1010">
        <v>0</v>
      </c>
      <c r="K146" s="1010"/>
      <c r="L146" s="1014"/>
      <c r="M146" s="1010">
        <v>0</v>
      </c>
      <c r="N146" s="1014"/>
      <c r="O146" s="1010">
        <v>0</v>
      </c>
      <c r="P146" s="1010">
        <v>0</v>
      </c>
      <c r="R146" s="493"/>
    </row>
    <row r="147" spans="2:18">
      <c r="B147" s="948" t="s">
        <v>334</v>
      </c>
      <c r="C147" s="1004">
        <v>2055</v>
      </c>
      <c r="D147" s="1005">
        <v>0</v>
      </c>
      <c r="E147" s="906">
        <v>0</v>
      </c>
      <c r="F147" s="1006">
        <v>0</v>
      </c>
      <c r="G147" s="1006">
        <v>0</v>
      </c>
      <c r="H147" s="909">
        <v>0</v>
      </c>
      <c r="I147" s="1013">
        <v>0</v>
      </c>
      <c r="J147" s="1010">
        <v>0</v>
      </c>
      <c r="K147" s="1010"/>
      <c r="L147" s="1014"/>
      <c r="M147" s="1010">
        <v>0</v>
      </c>
      <c r="N147" s="1014"/>
      <c r="O147" s="1010">
        <v>0</v>
      </c>
      <c r="P147" s="1010">
        <v>0</v>
      </c>
      <c r="R147" s="493"/>
    </row>
    <row r="148" spans="2:18">
      <c r="B148" s="948" t="s">
        <v>334</v>
      </c>
      <c r="C148" s="1004">
        <v>2056</v>
      </c>
      <c r="D148" s="1005">
        <v>0</v>
      </c>
      <c r="E148" s="906">
        <v>0</v>
      </c>
      <c r="F148" s="1006">
        <v>0</v>
      </c>
      <c r="G148" s="1006">
        <v>0</v>
      </c>
      <c r="H148" s="909">
        <v>0</v>
      </c>
      <c r="I148" s="1013">
        <v>0</v>
      </c>
      <c r="J148" s="1010">
        <v>0</v>
      </c>
      <c r="K148" s="1010"/>
      <c r="L148" s="1014"/>
      <c r="M148" s="1010">
        <v>0</v>
      </c>
      <c r="N148" s="1014"/>
      <c r="O148" s="1010">
        <v>0</v>
      </c>
      <c r="P148" s="1010">
        <v>0</v>
      </c>
      <c r="R148" s="493"/>
    </row>
    <row r="149" spans="2:18">
      <c r="B149" s="948" t="s">
        <v>334</v>
      </c>
      <c r="C149" s="1004">
        <v>2057</v>
      </c>
      <c r="D149" s="1005">
        <v>0</v>
      </c>
      <c r="E149" s="906">
        <v>0</v>
      </c>
      <c r="F149" s="1006">
        <v>0</v>
      </c>
      <c r="G149" s="1006">
        <v>0</v>
      </c>
      <c r="H149" s="909">
        <v>0</v>
      </c>
      <c r="I149" s="1013">
        <v>0</v>
      </c>
      <c r="J149" s="1010">
        <v>0</v>
      </c>
      <c r="K149" s="1010"/>
      <c r="L149" s="1014"/>
      <c r="M149" s="1010">
        <v>0</v>
      </c>
      <c r="N149" s="1014"/>
      <c r="O149" s="1010">
        <v>0</v>
      </c>
      <c r="P149" s="1010">
        <v>0</v>
      </c>
      <c r="R149" s="493"/>
    </row>
    <row r="150" spans="2:18">
      <c r="B150" s="948" t="s">
        <v>334</v>
      </c>
      <c r="C150" s="1004">
        <v>2058</v>
      </c>
      <c r="D150" s="1005">
        <v>0</v>
      </c>
      <c r="E150" s="906">
        <v>0</v>
      </c>
      <c r="F150" s="1006">
        <v>0</v>
      </c>
      <c r="G150" s="1006">
        <v>0</v>
      </c>
      <c r="H150" s="909">
        <v>0</v>
      </c>
      <c r="I150" s="1013">
        <v>0</v>
      </c>
      <c r="J150" s="1010">
        <v>0</v>
      </c>
      <c r="K150" s="1010"/>
      <c r="L150" s="1014"/>
      <c r="M150" s="1010">
        <v>0</v>
      </c>
      <c r="N150" s="1014"/>
      <c r="O150" s="1010">
        <v>0</v>
      </c>
      <c r="P150" s="1010">
        <v>0</v>
      </c>
      <c r="R150" s="493"/>
    </row>
    <row r="151" spans="2:18">
      <c r="B151" s="948" t="s">
        <v>334</v>
      </c>
      <c r="C151" s="1004">
        <v>2059</v>
      </c>
      <c r="D151" s="1005">
        <v>0</v>
      </c>
      <c r="E151" s="906">
        <v>0</v>
      </c>
      <c r="F151" s="1006">
        <v>0</v>
      </c>
      <c r="G151" s="1006">
        <v>0</v>
      </c>
      <c r="H151" s="909">
        <v>0</v>
      </c>
      <c r="I151" s="1013">
        <v>0</v>
      </c>
      <c r="J151" s="1010">
        <v>0</v>
      </c>
      <c r="K151" s="1010"/>
      <c r="L151" s="1014"/>
      <c r="M151" s="1010">
        <v>0</v>
      </c>
      <c r="N151" s="1014"/>
      <c r="O151" s="1010">
        <v>0</v>
      </c>
      <c r="P151" s="1010">
        <v>0</v>
      </c>
      <c r="R151" s="493"/>
    </row>
    <row r="152" spans="2:18">
      <c r="B152" s="948" t="s">
        <v>334</v>
      </c>
      <c r="C152" s="1004">
        <v>2060</v>
      </c>
      <c r="D152" s="1005">
        <v>0</v>
      </c>
      <c r="E152" s="906">
        <v>0</v>
      </c>
      <c r="F152" s="1006">
        <v>0</v>
      </c>
      <c r="G152" s="1006">
        <v>0</v>
      </c>
      <c r="H152" s="909">
        <v>0</v>
      </c>
      <c r="I152" s="1013">
        <v>0</v>
      </c>
      <c r="J152" s="1010">
        <v>0</v>
      </c>
      <c r="K152" s="1010"/>
      <c r="L152" s="1014"/>
      <c r="M152" s="1010">
        <v>0</v>
      </c>
      <c r="N152" s="1014"/>
      <c r="O152" s="1010">
        <v>0</v>
      </c>
      <c r="P152" s="1010">
        <v>0</v>
      </c>
      <c r="R152" s="493"/>
    </row>
    <row r="153" spans="2:18">
      <c r="B153" s="948" t="s">
        <v>334</v>
      </c>
      <c r="C153" s="1004">
        <v>2061</v>
      </c>
      <c r="D153" s="1005">
        <v>0</v>
      </c>
      <c r="E153" s="906">
        <v>0</v>
      </c>
      <c r="F153" s="1006">
        <v>0</v>
      </c>
      <c r="G153" s="1006">
        <v>0</v>
      </c>
      <c r="H153" s="909">
        <v>0</v>
      </c>
      <c r="I153" s="1013">
        <v>0</v>
      </c>
      <c r="J153" s="1010">
        <v>0</v>
      </c>
      <c r="K153" s="1010"/>
      <c r="L153" s="1014"/>
      <c r="M153" s="1010">
        <v>0</v>
      </c>
      <c r="N153" s="1014"/>
      <c r="O153" s="1010">
        <v>0</v>
      </c>
      <c r="P153" s="1010">
        <v>0</v>
      </c>
      <c r="R153" s="493"/>
    </row>
    <row r="154" spans="2:18">
      <c r="B154" s="948" t="s">
        <v>334</v>
      </c>
      <c r="C154" s="1004">
        <v>2062</v>
      </c>
      <c r="D154" s="1005">
        <v>0</v>
      </c>
      <c r="E154" s="906">
        <v>0</v>
      </c>
      <c r="F154" s="1006">
        <v>0</v>
      </c>
      <c r="G154" s="1006">
        <v>0</v>
      </c>
      <c r="H154" s="909">
        <v>0</v>
      </c>
      <c r="I154" s="1013">
        <v>0</v>
      </c>
      <c r="J154" s="1010">
        <v>0</v>
      </c>
      <c r="K154" s="1010"/>
      <c r="L154" s="1014"/>
      <c r="M154" s="1010">
        <v>0</v>
      </c>
      <c r="N154" s="1014"/>
      <c r="O154" s="1010">
        <v>0</v>
      </c>
      <c r="P154" s="1010">
        <v>0</v>
      </c>
      <c r="R154" s="493"/>
    </row>
    <row r="155" spans="2:18">
      <c r="B155" s="948" t="s">
        <v>334</v>
      </c>
      <c r="C155" s="1004">
        <v>2063</v>
      </c>
      <c r="D155" s="1005">
        <v>0</v>
      </c>
      <c r="E155" s="906">
        <v>0</v>
      </c>
      <c r="F155" s="1006">
        <v>0</v>
      </c>
      <c r="G155" s="1006">
        <v>0</v>
      </c>
      <c r="H155" s="909">
        <v>0</v>
      </c>
      <c r="I155" s="1013">
        <v>0</v>
      </c>
      <c r="J155" s="1010">
        <v>0</v>
      </c>
      <c r="K155" s="1010"/>
      <c r="L155" s="1014"/>
      <c r="M155" s="1010">
        <v>0</v>
      </c>
      <c r="N155" s="1014"/>
      <c r="O155" s="1010">
        <v>0</v>
      </c>
      <c r="P155" s="1010">
        <v>0</v>
      </c>
      <c r="R155" s="493"/>
    </row>
    <row r="156" spans="2:18">
      <c r="B156" s="948" t="s">
        <v>334</v>
      </c>
      <c r="C156" s="1004">
        <v>2064</v>
      </c>
      <c r="D156" s="1005">
        <v>0</v>
      </c>
      <c r="E156" s="906">
        <v>0</v>
      </c>
      <c r="F156" s="1006">
        <v>0</v>
      </c>
      <c r="G156" s="1006">
        <v>0</v>
      </c>
      <c r="H156" s="909">
        <v>0</v>
      </c>
      <c r="I156" s="1013">
        <v>0</v>
      </c>
      <c r="J156" s="1010">
        <v>0</v>
      </c>
      <c r="K156" s="1010"/>
      <c r="L156" s="1014"/>
      <c r="M156" s="1010">
        <v>0</v>
      </c>
      <c r="N156" s="1014"/>
      <c r="O156" s="1010">
        <v>0</v>
      </c>
      <c r="P156" s="1010">
        <v>0</v>
      </c>
      <c r="R156" s="493"/>
    </row>
    <row r="157" spans="2:18">
      <c r="B157" s="948" t="s">
        <v>334</v>
      </c>
      <c r="C157" s="1004">
        <v>2065</v>
      </c>
      <c r="D157" s="1005">
        <v>0</v>
      </c>
      <c r="E157" s="906">
        <v>0</v>
      </c>
      <c r="F157" s="1006">
        <v>0</v>
      </c>
      <c r="G157" s="1006">
        <v>0</v>
      </c>
      <c r="H157" s="909">
        <v>0</v>
      </c>
      <c r="I157" s="1013">
        <v>0</v>
      </c>
      <c r="J157" s="1010">
        <v>0</v>
      </c>
      <c r="K157" s="1010"/>
      <c r="L157" s="1014"/>
      <c r="M157" s="1010">
        <v>0</v>
      </c>
      <c r="N157" s="1014"/>
      <c r="O157" s="1010">
        <v>0</v>
      </c>
      <c r="P157" s="1010">
        <v>0</v>
      </c>
      <c r="R157" s="493"/>
    </row>
    <row r="158" spans="2:18">
      <c r="B158" s="948" t="s">
        <v>334</v>
      </c>
      <c r="C158" s="1004">
        <v>2066</v>
      </c>
      <c r="D158" s="1005">
        <v>0</v>
      </c>
      <c r="E158" s="906">
        <v>0</v>
      </c>
      <c r="F158" s="1006">
        <v>0</v>
      </c>
      <c r="G158" s="1006">
        <v>0</v>
      </c>
      <c r="H158" s="909">
        <v>0</v>
      </c>
      <c r="I158" s="1013">
        <v>0</v>
      </c>
      <c r="J158" s="1010">
        <v>0</v>
      </c>
      <c r="K158" s="1010"/>
      <c r="L158" s="1014"/>
      <c r="M158" s="1010">
        <v>0</v>
      </c>
      <c r="N158" s="1014"/>
      <c r="O158" s="1010">
        <v>0</v>
      </c>
      <c r="P158" s="1010">
        <v>0</v>
      </c>
      <c r="R158" s="493"/>
    </row>
    <row r="159" spans="2:18">
      <c r="B159" s="948" t="s">
        <v>334</v>
      </c>
      <c r="C159" s="1004">
        <v>2067</v>
      </c>
      <c r="D159" s="1005">
        <v>0</v>
      </c>
      <c r="E159" s="906">
        <v>0</v>
      </c>
      <c r="F159" s="1006">
        <v>0</v>
      </c>
      <c r="G159" s="1006">
        <v>0</v>
      </c>
      <c r="H159" s="909">
        <v>0</v>
      </c>
      <c r="I159" s="1013">
        <v>0</v>
      </c>
      <c r="J159" s="1010">
        <v>0</v>
      </c>
      <c r="K159" s="1010"/>
      <c r="L159" s="1014"/>
      <c r="M159" s="1010">
        <v>0</v>
      </c>
      <c r="N159" s="1014"/>
      <c r="O159" s="1010">
        <v>0</v>
      </c>
      <c r="P159" s="1010">
        <v>0</v>
      </c>
      <c r="R159" s="493"/>
    </row>
    <row r="160" spans="2:18" ht="13.5" thickBot="1">
      <c r="B160" s="948" t="s">
        <v>334</v>
      </c>
      <c r="C160" s="1015">
        <v>2068</v>
      </c>
      <c r="D160" s="1016">
        <v>0</v>
      </c>
      <c r="E160" s="912">
        <v>0</v>
      </c>
      <c r="F160" s="1017">
        <v>0</v>
      </c>
      <c r="G160" s="1017">
        <v>0</v>
      </c>
      <c r="H160" s="913">
        <v>0</v>
      </c>
      <c r="I160" s="1018">
        <v>0</v>
      </c>
      <c r="J160" s="1019">
        <v>0</v>
      </c>
      <c r="K160" s="1010"/>
      <c r="L160" s="1020"/>
      <c r="M160" s="1019">
        <v>0</v>
      </c>
      <c r="N160" s="1020"/>
      <c r="O160" s="1019">
        <v>0</v>
      </c>
      <c r="P160" s="1019">
        <v>0</v>
      </c>
      <c r="R160" s="493"/>
    </row>
    <row r="161" spans="2:18">
      <c r="B161" s="813"/>
      <c r="C161" s="1005" t="s">
        <v>473</v>
      </c>
      <c r="D161" s="844"/>
      <c r="E161" s="844">
        <v>1035552</v>
      </c>
      <c r="F161" s="844"/>
      <c r="G161" s="844"/>
      <c r="H161" s="844">
        <v>4670143.8157202108</v>
      </c>
      <c r="I161" s="844">
        <v>4670143.8157202108</v>
      </c>
      <c r="J161" s="844">
        <v>0</v>
      </c>
      <c r="K161" s="844"/>
      <c r="L161" s="844"/>
      <c r="M161" s="844"/>
      <c r="N161" s="844"/>
      <c r="O161" s="844"/>
      <c r="P161" s="813"/>
      <c r="R161" s="493"/>
    </row>
    <row r="162" spans="2:18">
      <c r="B162" s="813"/>
      <c r="C162" s="813" t="s">
        <v>635</v>
      </c>
      <c r="D162" s="948"/>
      <c r="E162" s="813"/>
      <c r="F162" s="813"/>
      <c r="G162" s="813"/>
      <c r="H162" s="813"/>
      <c r="I162" s="839"/>
      <c r="J162" s="839"/>
      <c r="K162" s="844"/>
      <c r="L162" s="839"/>
      <c r="M162" s="839"/>
      <c r="N162" s="839"/>
      <c r="O162" s="839"/>
      <c r="P162" s="813"/>
      <c r="R162" s="493"/>
    </row>
    <row r="163" spans="2:18">
      <c r="B163" s="813"/>
      <c r="C163" s="813"/>
      <c r="D163" s="948"/>
      <c r="E163" s="813"/>
      <c r="F163" s="813"/>
      <c r="G163" s="813"/>
      <c r="H163" s="813"/>
      <c r="I163" s="839"/>
      <c r="J163" s="839"/>
      <c r="K163" s="844"/>
      <c r="L163" s="839"/>
      <c r="M163" s="839"/>
      <c r="N163" s="839"/>
      <c r="O163" s="839"/>
      <c r="P163" s="813"/>
      <c r="R163" s="493"/>
    </row>
    <row r="164" spans="2:18">
      <c r="B164" s="813"/>
      <c r="C164" s="1021" t="s">
        <v>636</v>
      </c>
      <c r="D164" s="948"/>
      <c r="E164" s="813"/>
      <c r="F164" s="813"/>
      <c r="G164" s="813"/>
      <c r="H164" s="813"/>
      <c r="I164" s="839"/>
      <c r="J164" s="839"/>
      <c r="K164" s="844"/>
      <c r="L164" s="839"/>
      <c r="M164" s="839"/>
      <c r="N164" s="839"/>
      <c r="O164" s="839"/>
      <c r="P164" s="813"/>
      <c r="R164" s="493"/>
    </row>
    <row r="165" spans="2:18">
      <c r="B165" s="813"/>
      <c r="C165" s="969" t="s">
        <v>474</v>
      </c>
      <c r="D165" s="1005"/>
      <c r="E165" s="1005"/>
      <c r="F165" s="1005"/>
      <c r="G165" s="1005"/>
      <c r="H165" s="844"/>
      <c r="I165" s="844"/>
      <c r="J165" s="1022"/>
      <c r="K165" s="1022"/>
      <c r="L165" s="1022"/>
      <c r="M165" s="1022"/>
      <c r="N165" s="1022"/>
      <c r="O165" s="1022"/>
      <c r="P165" s="813"/>
      <c r="R165" s="493"/>
    </row>
    <row r="166" spans="2:18">
      <c r="B166" s="813"/>
      <c r="C166" s="969" t="s">
        <v>475</v>
      </c>
      <c r="D166" s="1005"/>
      <c r="E166" s="1005"/>
      <c r="F166" s="1005"/>
      <c r="G166" s="1005"/>
      <c r="H166" s="844"/>
      <c r="I166" s="844"/>
      <c r="J166" s="1022"/>
      <c r="K166" s="1022"/>
      <c r="L166" s="1022"/>
      <c r="M166" s="1022"/>
      <c r="N166" s="1022"/>
      <c r="O166" s="1022"/>
      <c r="P166" s="813"/>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38"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6"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99"/>
  <sheetViews>
    <sheetView zoomScale="81" zoomScaleNormal="81" zoomScaleSheetLayoutView="75" zoomScalePageLayoutView="80" workbookViewId="0">
      <selection activeCell="N35" sqref="N35:N52"/>
    </sheetView>
  </sheetViews>
  <sheetFormatPr defaultColWidth="9.28515625" defaultRowHeight="15"/>
  <cols>
    <col min="1" max="1" width="4.7109375" style="1023" customWidth="1"/>
    <col min="2" max="2" width="7.42578125" style="1023" customWidth="1"/>
    <col min="3" max="6" width="12.7109375" style="1023" customWidth="1"/>
    <col min="7" max="7" width="17.28515625" style="1023" customWidth="1"/>
    <col min="8" max="9" width="12.7109375" style="1023" customWidth="1"/>
    <col min="10" max="10" width="12" style="1023" customWidth="1"/>
    <col min="11" max="11" width="16.42578125" style="1023" bestFit="1" customWidth="1"/>
    <col min="12" max="12" width="22.28515625" style="1023" bestFit="1" customWidth="1"/>
    <col min="13" max="13" width="22.28515625" style="403" bestFit="1" customWidth="1"/>
    <col min="14" max="14" width="8.42578125" style="1023" customWidth="1"/>
    <col min="15" max="38" width="12.7109375" style="1023" customWidth="1"/>
    <col min="39" max="16384" width="9.28515625" style="1023"/>
  </cols>
  <sheetData>
    <row r="1" spans="1:22">
      <c r="A1" s="547"/>
    </row>
    <row r="2" spans="1:22" ht="15.75">
      <c r="N2" s="1024"/>
    </row>
    <row r="3" spans="1:22">
      <c r="A3" s="2192" t="str">
        <f>+'OKT TCOS'!F4</f>
        <v xml:space="preserve">AEP West SPP Member Transmission Companies </v>
      </c>
      <c r="B3" s="2192"/>
      <c r="C3" s="2192"/>
      <c r="D3" s="2192"/>
      <c r="E3" s="2192"/>
      <c r="F3" s="2192"/>
      <c r="G3" s="2192"/>
      <c r="H3" s="2192"/>
      <c r="I3" s="2192"/>
      <c r="J3" s="2192"/>
      <c r="K3" s="2192"/>
      <c r="L3" s="2192"/>
      <c r="M3" s="2192"/>
      <c r="N3" s="2192"/>
    </row>
    <row r="4" spans="1:22">
      <c r="A4" s="2257" t="str">
        <f>+'OKT WS A-1 - Plant'!A3</f>
        <v xml:space="preserve">Actual / Projected 2022 Rate Year Cost of Service Formula Rate </v>
      </c>
      <c r="B4" s="2186"/>
      <c r="C4" s="2186"/>
      <c r="D4" s="2186"/>
      <c r="E4" s="2186"/>
      <c r="F4" s="2186"/>
      <c r="G4" s="2186"/>
      <c r="H4" s="2186"/>
      <c r="I4" s="2186"/>
      <c r="J4" s="2186"/>
      <c r="K4" s="2186"/>
      <c r="L4" s="2186"/>
      <c r="M4" s="2186"/>
      <c r="N4" s="2186"/>
    </row>
    <row r="5" spans="1:22" ht="15.75" customHeight="1">
      <c r="A5" s="2186" t="s">
        <v>596</v>
      </c>
      <c r="B5" s="2186"/>
      <c r="C5" s="2186"/>
      <c r="D5" s="2186"/>
      <c r="E5" s="2186"/>
      <c r="F5" s="2186"/>
      <c r="G5" s="2186"/>
      <c r="H5" s="2186"/>
      <c r="I5" s="2186"/>
      <c r="J5" s="2186"/>
      <c r="K5" s="2186"/>
      <c r="L5" s="2186"/>
      <c r="M5" s="2186"/>
      <c r="N5" s="2186"/>
      <c r="O5" s="419"/>
      <c r="P5" s="419"/>
      <c r="Q5" s="419"/>
      <c r="R5" s="419"/>
      <c r="S5" s="419"/>
      <c r="T5" s="419"/>
      <c r="U5" s="419"/>
    </row>
    <row r="6" spans="1:22" ht="15.75">
      <c r="A6" s="2243" t="str">
        <f>+'OKT TCOS'!F8</f>
        <v>AEP OKLAHOMA TRANSMISSION COMPANY, INC.</v>
      </c>
      <c r="B6" s="2243"/>
      <c r="C6" s="2243"/>
      <c r="D6" s="2243"/>
      <c r="E6" s="2243"/>
      <c r="F6" s="2243"/>
      <c r="G6" s="2243"/>
      <c r="H6" s="2243"/>
      <c r="I6" s="2243"/>
      <c r="J6" s="2243"/>
      <c r="K6" s="2243"/>
      <c r="L6" s="2243"/>
      <c r="M6" s="2243"/>
      <c r="N6" s="2243"/>
    </row>
    <row r="7" spans="1:22" ht="26.25">
      <c r="A7" s="1025"/>
      <c r="B7" s="1026"/>
      <c r="C7" s="1026"/>
      <c r="D7" s="1026"/>
      <c r="E7" s="1026"/>
      <c r="F7" s="1026"/>
      <c r="G7" s="1026"/>
      <c r="H7" s="1026"/>
      <c r="I7" s="1026"/>
      <c r="J7" s="1026"/>
      <c r="K7" s="1026"/>
      <c r="L7" s="724"/>
      <c r="M7" s="1027"/>
    </row>
    <row r="8" spans="1:22" ht="20.25">
      <c r="A8" s="1028"/>
      <c r="B8" s="1026"/>
      <c r="C8" s="1026"/>
      <c r="D8" s="1026"/>
      <c r="E8" s="1026"/>
      <c r="F8" s="1026"/>
      <c r="G8" s="1026"/>
      <c r="H8" s="1026"/>
      <c r="I8" s="1026"/>
      <c r="J8" s="1026"/>
      <c r="K8" s="1026"/>
      <c r="L8" s="1026"/>
      <c r="M8" s="2155"/>
    </row>
    <row r="9" spans="1:22" ht="20.25">
      <c r="A9" s="1026"/>
      <c r="B9" s="1026"/>
      <c r="C9" s="1029"/>
      <c r="D9" s="1029"/>
      <c r="E9" s="1029"/>
      <c r="F9" s="1029"/>
      <c r="G9" s="1029"/>
      <c r="H9" s="1029"/>
      <c r="I9" s="1029"/>
      <c r="J9" s="1029"/>
      <c r="K9" s="1030" t="s">
        <v>316</v>
      </c>
      <c r="L9" s="1030" t="s">
        <v>207</v>
      </c>
      <c r="M9" s="1031"/>
      <c r="N9" s="546"/>
      <c r="P9" s="546"/>
      <c r="R9" s="546"/>
      <c r="S9" s="546"/>
      <c r="T9" s="546"/>
      <c r="U9" s="493"/>
      <c r="V9" s="493"/>
    </row>
    <row r="10" spans="1:22" ht="20.25">
      <c r="A10" s="1029"/>
      <c r="B10" s="1032" t="s">
        <v>594</v>
      </c>
      <c r="C10" s="1029"/>
      <c r="D10" s="1029"/>
      <c r="E10" s="1029"/>
      <c r="F10" s="1029"/>
      <c r="G10" s="1029"/>
      <c r="H10" s="1029"/>
      <c r="I10" s="1029"/>
      <c r="J10" s="1026"/>
      <c r="K10" s="1030" t="s">
        <v>317</v>
      </c>
      <c r="L10" s="1030" t="s">
        <v>252</v>
      </c>
      <c r="M10" s="1030" t="s">
        <v>252</v>
      </c>
      <c r="N10" s="546"/>
      <c r="O10" s="546"/>
      <c r="P10" s="546"/>
      <c r="Q10" s="546"/>
      <c r="R10" s="546"/>
      <c r="S10" s="546"/>
      <c r="T10" s="1033"/>
      <c r="U10" s="493"/>
      <c r="V10" s="493"/>
    </row>
    <row r="11" spans="1:22" ht="20.25">
      <c r="A11" s="1029"/>
      <c r="B11" s="1034"/>
      <c r="C11" s="1026"/>
      <c r="D11" s="1029"/>
      <c r="E11" s="1029"/>
      <c r="F11" s="1029"/>
      <c r="G11" s="1029"/>
      <c r="H11" s="1029"/>
      <c r="I11" s="1029"/>
      <c r="J11" s="1026"/>
      <c r="K11" s="1029"/>
      <c r="L11" s="1029"/>
      <c r="M11" s="1035"/>
      <c r="N11" s="546"/>
      <c r="O11" s="546"/>
      <c r="P11" s="546"/>
      <c r="Q11" s="546"/>
      <c r="R11" s="546"/>
      <c r="S11" s="546"/>
      <c r="T11" s="1033"/>
      <c r="U11" s="493"/>
      <c r="V11" s="493"/>
    </row>
    <row r="12" spans="1:22" ht="20.25" customHeight="1">
      <c r="A12" s="1029"/>
      <c r="B12" s="1036">
        <v>1</v>
      </c>
      <c r="C12" s="1037" t="s">
        <v>638</v>
      </c>
      <c r="D12" s="1026"/>
      <c r="E12" s="1026"/>
      <c r="F12" s="1029"/>
      <c r="G12" s="1026"/>
      <c r="H12" s="1026"/>
      <c r="I12" s="1029"/>
      <c r="J12" s="1026"/>
      <c r="K12" s="1038">
        <v>0</v>
      </c>
      <c r="L12" s="1039">
        <f>+K12-M12</f>
        <v>0</v>
      </c>
      <c r="M12" s="986">
        <v>0</v>
      </c>
      <c r="N12"/>
      <c r="O12" s="493"/>
      <c r="P12" s="493"/>
      <c r="Q12" s="493"/>
      <c r="R12" s="493"/>
      <c r="S12" s="493"/>
      <c r="T12" s="546"/>
      <c r="U12" s="493"/>
      <c r="V12" s="493"/>
    </row>
    <row r="13" spans="1:22" ht="20.25" customHeight="1">
      <c r="A13" s="1029"/>
      <c r="B13" s="1036"/>
      <c r="C13" s="1034"/>
      <c r="D13" s="1026"/>
      <c r="E13" s="1026"/>
      <c r="F13" s="1029"/>
      <c r="G13" s="1026"/>
      <c r="H13" s="1026"/>
      <c r="I13" s="1029"/>
      <c r="J13" s="1026"/>
      <c r="K13" s="1040"/>
      <c r="L13" s="1041"/>
      <c r="M13" s="1041"/>
      <c r="N13"/>
      <c r="O13" s="493"/>
      <c r="P13" s="493"/>
      <c r="Q13" s="493"/>
      <c r="R13" s="493"/>
      <c r="S13" s="493"/>
      <c r="T13" s="546"/>
      <c r="U13" s="493"/>
      <c r="V13" s="493"/>
    </row>
    <row r="14" spans="1:22" ht="19.5">
      <c r="A14" s="1029"/>
      <c r="B14" s="1036">
        <f>+B12+1</f>
        <v>2</v>
      </c>
      <c r="C14" s="3" t="s">
        <v>609</v>
      </c>
      <c r="D14" s="1026"/>
      <c r="E14" s="1026"/>
      <c r="F14" s="1029"/>
      <c r="G14" s="1026"/>
      <c r="H14" s="1041"/>
      <c r="I14" s="1029"/>
      <c r="J14" s="1026"/>
      <c r="K14" s="1038">
        <v>0</v>
      </c>
      <c r="L14" s="1039">
        <f>+K14-M14</f>
        <v>0</v>
      </c>
      <c r="M14" s="986">
        <v>0</v>
      </c>
      <c r="N14"/>
      <c r="O14" s="493"/>
      <c r="P14" s="493"/>
      <c r="Q14" s="493"/>
      <c r="R14" s="493"/>
      <c r="S14" s="493"/>
      <c r="T14" s="493"/>
      <c r="U14" s="493"/>
      <c r="V14" s="493"/>
    </row>
    <row r="15" spans="1:22" ht="20.25">
      <c r="A15" s="1029"/>
      <c r="B15" s="1036"/>
      <c r="C15" s="1034"/>
      <c r="D15" s="1026"/>
      <c r="E15" s="1026"/>
      <c r="F15" s="1029"/>
      <c r="G15" s="1026"/>
      <c r="H15" s="1041"/>
      <c r="I15" s="1029"/>
      <c r="J15" s="1029"/>
      <c r="K15" s="1040"/>
      <c r="L15" s="1029"/>
      <c r="M15" s="1042"/>
      <c r="N15"/>
      <c r="O15" s="493"/>
      <c r="P15" s="493"/>
      <c r="Q15" s="493"/>
      <c r="R15" s="493"/>
      <c r="S15" s="493"/>
      <c r="T15" s="493"/>
      <c r="U15" s="493"/>
      <c r="V15" s="493"/>
    </row>
    <row r="16" spans="1:22" ht="18">
      <c r="A16" s="1029"/>
      <c r="C16" s="1037" t="s">
        <v>639</v>
      </c>
      <c r="D16" s="1026"/>
      <c r="E16" s="1026"/>
      <c r="F16" s="1029"/>
      <c r="G16" s="1026"/>
      <c r="H16" s="1026"/>
      <c r="I16" s="1029"/>
      <c r="J16" s="1029"/>
      <c r="K16" s="1040"/>
      <c r="L16" s="1039"/>
      <c r="M16" s="986"/>
      <c r="N16"/>
      <c r="O16" s="493"/>
      <c r="P16" s="493"/>
      <c r="Q16" s="493"/>
      <c r="R16" s="493"/>
      <c r="S16" s="493"/>
      <c r="T16" s="493"/>
      <c r="U16" s="493"/>
      <c r="V16" s="493"/>
    </row>
    <row r="17" spans="1:22" ht="19.5">
      <c r="A17" s="1029"/>
      <c r="B17" s="1036"/>
      <c r="C17" s="1043"/>
      <c r="D17" s="1031" t="s">
        <v>95</v>
      </c>
      <c r="E17" s="1026"/>
      <c r="F17" s="1029"/>
      <c r="G17" s="1044"/>
      <c r="H17" s="1041"/>
      <c r="I17" s="1029"/>
      <c r="J17" s="1029"/>
      <c r="K17" s="1038">
        <v>143745.024</v>
      </c>
      <c r="L17" s="1039">
        <f>+K17-M17</f>
        <v>0</v>
      </c>
      <c r="M17" s="1038">
        <v>143745.024</v>
      </c>
      <c r="N17"/>
      <c r="O17" s="493"/>
      <c r="P17" s="493"/>
      <c r="Q17" s="493"/>
      <c r="R17" s="493"/>
      <c r="S17" s="493"/>
      <c r="T17" s="493"/>
      <c r="U17" s="493"/>
      <c r="V17" s="493"/>
    </row>
    <row r="18" spans="1:22" ht="19.5">
      <c r="A18" s="1029"/>
      <c r="B18" s="1036"/>
      <c r="C18" s="1045"/>
      <c r="D18" s="1031" t="s">
        <v>96</v>
      </c>
      <c r="E18" s="1026"/>
      <c r="F18" s="1029"/>
      <c r="G18" s="1044"/>
      <c r="H18" s="1041"/>
      <c r="I18" s="1029"/>
      <c r="J18" s="1029"/>
      <c r="K18" s="1038">
        <v>0</v>
      </c>
      <c r="L18" s="1039">
        <f>+K18-M18</f>
        <v>0</v>
      </c>
      <c r="M18" s="1038">
        <v>0</v>
      </c>
      <c r="N18"/>
      <c r="O18" s="493"/>
      <c r="P18" s="493"/>
      <c r="Q18" s="493"/>
      <c r="R18" s="493"/>
      <c r="S18" s="493"/>
      <c r="T18" s="493"/>
      <c r="U18" s="493"/>
      <c r="V18" s="493"/>
    </row>
    <row r="19" spans="1:22" ht="19.5">
      <c r="A19" s="1029"/>
      <c r="B19" s="1036"/>
      <c r="C19" s="1045"/>
      <c r="D19" s="1031" t="s">
        <v>407</v>
      </c>
      <c r="E19" s="1026"/>
      <c r="F19" s="1029"/>
      <c r="G19" s="1044"/>
      <c r="H19" s="1041"/>
      <c r="I19" s="1029"/>
      <c r="J19" s="1029"/>
      <c r="K19" s="1038">
        <v>0</v>
      </c>
      <c r="L19" s="1039">
        <f>+K19-M19</f>
        <v>0</v>
      </c>
      <c r="M19" s="1038">
        <v>0</v>
      </c>
      <c r="N19"/>
      <c r="O19" s="493"/>
      <c r="P19" s="493"/>
      <c r="Q19" s="493"/>
      <c r="R19" s="493"/>
      <c r="S19" s="493"/>
      <c r="T19" s="493"/>
      <c r="U19" s="493"/>
      <c r="V19" s="493"/>
    </row>
    <row r="20" spans="1:22" ht="19.5">
      <c r="A20" s="1029"/>
      <c r="B20" s="1036"/>
      <c r="C20" s="1045"/>
      <c r="D20" s="1046" t="s">
        <v>97</v>
      </c>
      <c r="E20" s="1026"/>
      <c r="F20" s="1029"/>
      <c r="G20" s="1044"/>
      <c r="H20" s="1041"/>
      <c r="I20" s="1029"/>
      <c r="J20" s="1029"/>
      <c r="K20" s="1038">
        <v>0</v>
      </c>
      <c r="L20" s="1039">
        <f>+K20-M20</f>
        <v>0</v>
      </c>
      <c r="M20" s="1038">
        <v>0</v>
      </c>
      <c r="N20"/>
      <c r="O20" s="493"/>
      <c r="P20" s="493"/>
      <c r="Q20" s="493"/>
      <c r="R20" s="493"/>
      <c r="S20" s="493"/>
      <c r="T20" s="493"/>
      <c r="U20" s="493"/>
      <c r="V20" s="493"/>
    </row>
    <row r="21" spans="1:22" ht="19.5">
      <c r="A21" s="1029"/>
      <c r="B21" s="1036"/>
      <c r="C21" s="1045"/>
      <c r="D21" s="1046" t="s">
        <v>498</v>
      </c>
      <c r="E21" s="1026"/>
      <c r="F21" s="1029"/>
      <c r="G21" s="1044"/>
      <c r="H21" s="1041"/>
      <c r="I21" s="1029"/>
      <c r="J21" s="1029"/>
      <c r="K21" s="1038"/>
      <c r="L21" s="1039"/>
      <c r="M21" s="1038"/>
      <c r="N21"/>
      <c r="O21" s="493"/>
      <c r="P21" s="493"/>
      <c r="Q21" s="493"/>
      <c r="R21" s="493"/>
      <c r="S21" s="493"/>
      <c r="T21" s="493"/>
      <c r="U21" s="493"/>
      <c r="V21" s="493"/>
    </row>
    <row r="22" spans="1:22" ht="19.5">
      <c r="A22" s="1029"/>
      <c r="B22" s="1036">
        <f>+B14+1</f>
        <v>3</v>
      </c>
      <c r="C22" s="1045"/>
      <c r="D22" s="1031" t="s">
        <v>497</v>
      </c>
      <c r="E22" s="1026"/>
      <c r="F22" s="1029"/>
      <c r="G22" s="1044"/>
      <c r="H22" s="1041"/>
      <c r="I22" s="1029"/>
      <c r="J22" s="1029"/>
      <c r="K22" s="1047">
        <f>SUM(K17:K21)</f>
        <v>143745.024</v>
      </c>
      <c r="L22" s="1039"/>
      <c r="M22" s="1047">
        <f>SUM(M17:M21)</f>
        <v>143745.024</v>
      </c>
      <c r="N22"/>
      <c r="O22" s="493"/>
      <c r="P22" s="493"/>
      <c r="Q22" s="493"/>
      <c r="R22" s="493"/>
      <c r="S22" s="493"/>
      <c r="T22" s="493"/>
      <c r="U22" s="493"/>
      <c r="V22" s="493"/>
    </row>
    <row r="23" spans="1:22" ht="19.5">
      <c r="A23" s="1029"/>
      <c r="B23" s="1036"/>
      <c r="C23" s="1041"/>
      <c r="D23" s="1026"/>
      <c r="E23" s="1026"/>
      <c r="F23" s="1029"/>
      <c r="G23" s="1044"/>
      <c r="H23" s="1041"/>
      <c r="I23" s="1029"/>
      <c r="J23" s="1029"/>
      <c r="K23" s="1029"/>
      <c r="L23" s="1029"/>
      <c r="M23" s="1041"/>
      <c r="N23"/>
      <c r="O23" s="493"/>
      <c r="P23" s="493"/>
      <c r="Q23" s="493"/>
      <c r="R23" s="493"/>
      <c r="S23" s="493"/>
      <c r="T23" s="493"/>
      <c r="U23" s="493"/>
      <c r="V23" s="493"/>
    </row>
    <row r="24" spans="1:22" ht="19.5">
      <c r="A24" s="1029"/>
      <c r="B24" s="1036"/>
      <c r="C24" s="1048"/>
      <c r="D24" s="1026"/>
      <c r="E24" s="1026"/>
      <c r="F24" s="1029"/>
      <c r="G24" s="1044"/>
      <c r="H24" s="1041"/>
      <c r="I24" s="1029"/>
      <c r="J24" s="1029"/>
      <c r="K24" s="1029"/>
      <c r="L24" s="1029"/>
      <c r="M24" s="1041"/>
      <c r="N24"/>
      <c r="O24" s="493"/>
      <c r="P24" s="493"/>
      <c r="Q24" s="493"/>
      <c r="R24" s="493"/>
      <c r="S24" s="493"/>
      <c r="T24" s="493"/>
      <c r="U24" s="493"/>
      <c r="V24" s="493"/>
    </row>
    <row r="25" spans="1:22" ht="19.5">
      <c r="A25" s="1029"/>
      <c r="B25" s="1036"/>
      <c r="C25" s="1041"/>
      <c r="D25" s="1026"/>
      <c r="E25" s="1026"/>
      <c r="F25" s="1029"/>
      <c r="G25" s="1044"/>
      <c r="H25" s="1041"/>
      <c r="I25" s="1029"/>
      <c r="J25" s="1029"/>
      <c r="K25" s="1029"/>
      <c r="L25" s="1029"/>
      <c r="M25" s="1041"/>
      <c r="N25"/>
      <c r="O25" s="493"/>
      <c r="P25" s="493"/>
      <c r="Q25" s="493"/>
      <c r="R25" s="493"/>
      <c r="S25" s="493"/>
      <c r="T25" s="493"/>
      <c r="U25" s="493"/>
      <c r="V25" s="493"/>
    </row>
    <row r="26" spans="1:22" ht="19.5">
      <c r="A26" s="1029"/>
      <c r="B26" s="1036"/>
      <c r="C26" s="3" t="s">
        <v>598</v>
      </c>
      <c r="D26" s="1026"/>
      <c r="E26" s="1026"/>
      <c r="F26" s="1029"/>
      <c r="G26" s="1044"/>
      <c r="H26" s="1041"/>
      <c r="I26" s="1029"/>
      <c r="J26" s="1029"/>
      <c r="K26" s="478"/>
      <c r="L26" s="478"/>
      <c r="M26" s="478"/>
      <c r="N26"/>
      <c r="O26" s="493"/>
      <c r="P26" s="493"/>
      <c r="Q26" s="493"/>
      <c r="R26" s="493"/>
      <c r="S26" s="493"/>
      <c r="T26" s="493"/>
      <c r="U26" s="493"/>
      <c r="V26" s="493"/>
    </row>
    <row r="27" spans="1:22" ht="19.5">
      <c r="A27" s="1029"/>
      <c r="B27" s="1036"/>
      <c r="C27" s="404">
        <v>1</v>
      </c>
      <c r="D27" s="1031" t="s">
        <v>98</v>
      </c>
      <c r="E27" s="1026"/>
      <c r="F27" s="1029"/>
      <c r="G27" s="1044"/>
      <c r="H27" s="1041"/>
      <c r="I27" s="1029"/>
      <c r="J27" s="1029"/>
      <c r="K27" s="1038">
        <v>0</v>
      </c>
      <c r="L27" s="1039">
        <f t="shared" ref="L27:L28" si="0">+K27-M27</f>
        <v>0</v>
      </c>
      <c r="M27" s="1038">
        <v>0</v>
      </c>
      <c r="N27"/>
      <c r="O27" s="493"/>
      <c r="P27" s="493"/>
      <c r="Q27" s="493"/>
      <c r="R27" s="493"/>
      <c r="S27" s="493"/>
      <c r="T27" s="493"/>
      <c r="U27" s="493"/>
      <c r="V27" s="493"/>
    </row>
    <row r="28" spans="1:22" ht="19.5">
      <c r="A28" s="1029"/>
      <c r="B28" s="1036"/>
      <c r="C28" s="404">
        <v>2</v>
      </c>
      <c r="D28" s="1031" t="s">
        <v>599</v>
      </c>
      <c r="E28" s="1026"/>
      <c r="F28" s="1029"/>
      <c r="G28" s="1044"/>
      <c r="H28" s="1041"/>
      <c r="I28" s="1029"/>
      <c r="J28" s="1029"/>
      <c r="K28" s="1038">
        <v>0</v>
      </c>
      <c r="L28" s="1039">
        <f t="shared" si="0"/>
        <v>0</v>
      </c>
      <c r="M28" s="1038">
        <v>0</v>
      </c>
      <c r="N28"/>
      <c r="O28" s="493"/>
      <c r="P28" s="493"/>
      <c r="Q28" s="493"/>
      <c r="R28" s="493"/>
      <c r="S28" s="493"/>
      <c r="T28" s="493"/>
      <c r="U28" s="493"/>
      <c r="V28" s="493"/>
    </row>
    <row r="29" spans="1:22" ht="19.5">
      <c r="A29" s="1029"/>
      <c r="B29" s="1036">
        <f>+B22+1</f>
        <v>4</v>
      </c>
      <c r="C29" s="3"/>
      <c r="D29" s="1031" t="s">
        <v>610</v>
      </c>
      <c r="E29" s="1026"/>
      <c r="F29" s="1029"/>
      <c r="G29" s="1044"/>
      <c r="H29" s="1041"/>
      <c r="I29" s="1029"/>
      <c r="J29" s="1029"/>
      <c r="K29" s="1049">
        <f>+SUM(K27:K28)</f>
        <v>0</v>
      </c>
      <c r="L29" s="1039"/>
      <c r="M29" s="1049">
        <f>+SUM(M27:M28)</f>
        <v>0</v>
      </c>
      <c r="N29"/>
      <c r="O29" s="493"/>
      <c r="P29" s="493"/>
      <c r="Q29" s="493"/>
      <c r="R29" s="493"/>
      <c r="S29" s="493"/>
      <c r="T29" s="493"/>
      <c r="U29" s="493"/>
      <c r="V29" s="493"/>
    </row>
    <row r="30" spans="1:22" ht="19.5">
      <c r="A30" s="1029"/>
      <c r="B30" s="1036"/>
      <c r="E30" s="1026"/>
      <c r="F30" s="1029"/>
      <c r="G30" s="1044"/>
      <c r="H30" s="1041"/>
      <c r="I30" s="1029"/>
      <c r="J30" s="1029"/>
      <c r="M30" s="1023"/>
      <c r="N30"/>
      <c r="O30" s="493"/>
      <c r="P30" s="493"/>
      <c r="Q30" s="493"/>
      <c r="R30" s="493"/>
      <c r="S30" s="493"/>
      <c r="T30" s="493"/>
      <c r="U30" s="493"/>
      <c r="V30" s="493"/>
    </row>
    <row r="31" spans="1:22" ht="20.25">
      <c r="A31" s="1029"/>
      <c r="B31" s="1036"/>
      <c r="C31" s="1034"/>
      <c r="D31" s="1026"/>
      <c r="E31" s="1026"/>
      <c r="F31" s="1029"/>
      <c r="G31" s="1044"/>
      <c r="H31" s="1041"/>
      <c r="I31" s="1029"/>
      <c r="J31" s="1029"/>
      <c r="K31" s="1029"/>
      <c r="L31" s="1029"/>
      <c r="M31" s="1050"/>
      <c r="N31"/>
      <c r="O31" s="493"/>
      <c r="P31" s="493"/>
      <c r="Q31" s="493"/>
      <c r="R31" s="493"/>
      <c r="S31" s="493"/>
      <c r="T31" s="493"/>
      <c r="U31" s="493"/>
      <c r="V31" s="493"/>
    </row>
    <row r="32" spans="1:22" ht="20.25" customHeight="1">
      <c r="A32" s="1029"/>
      <c r="B32" s="1036"/>
      <c r="C32" s="3" t="s">
        <v>595</v>
      </c>
      <c r="D32" s="1026"/>
      <c r="E32" s="1026"/>
      <c r="F32" s="1029"/>
      <c r="G32" s="1026"/>
      <c r="H32" s="1026"/>
      <c r="I32" s="1029"/>
      <c r="J32" s="1029"/>
      <c r="K32" s="1026"/>
      <c r="L32" s="1026"/>
      <c r="M32" s="1038">
        <v>196317881.83000001</v>
      </c>
      <c r="N32"/>
      <c r="O32" s="493"/>
      <c r="P32" s="493"/>
      <c r="Q32" s="493"/>
      <c r="R32" s="493"/>
      <c r="S32" s="493"/>
      <c r="T32" s="546"/>
      <c r="U32" s="493"/>
      <c r="V32" s="493"/>
    </row>
    <row r="33" spans="1:22" ht="19.899999999999999" customHeight="1">
      <c r="A33" s="1029"/>
      <c r="B33" s="1036"/>
      <c r="C33" s="1048"/>
      <c r="D33" s="1029"/>
      <c r="E33" s="1029"/>
      <c r="F33" s="1029"/>
      <c r="G33" s="1029"/>
      <c r="H33" s="1026"/>
      <c r="I33" s="1029"/>
      <c r="J33" s="1029"/>
      <c r="K33" s="1029"/>
      <c r="L33" s="1026"/>
      <c r="M33" s="493"/>
      <c r="N33" s="493"/>
      <c r="O33" s="493"/>
      <c r="P33" s="493"/>
      <c r="Q33" s="493"/>
      <c r="R33" s="493"/>
      <c r="S33" s="493"/>
      <c r="T33" s="653"/>
      <c r="U33" s="493"/>
      <c r="V33" s="493"/>
    </row>
    <row r="34" spans="1:22" ht="19.899999999999999" customHeight="1">
      <c r="A34" s="1029"/>
      <c r="B34" s="1036"/>
      <c r="C34" s="1051" t="s">
        <v>99</v>
      </c>
      <c r="D34" s="1026"/>
      <c r="E34" s="1029"/>
      <c r="F34" s="1026"/>
      <c r="G34" s="1029"/>
      <c r="H34" s="1029"/>
      <c r="I34" s="1029"/>
      <c r="J34" s="1029"/>
      <c r="K34" s="1029"/>
      <c r="L34" s="1026"/>
      <c r="M34" s="1052"/>
      <c r="N34" s="493"/>
      <c r="O34" s="493"/>
      <c r="P34" s="493"/>
      <c r="Q34" s="493"/>
      <c r="R34" s="493"/>
      <c r="S34" s="493"/>
      <c r="T34" s="653"/>
      <c r="U34" s="493"/>
      <c r="V34" s="493"/>
    </row>
    <row r="35" spans="1:22" ht="19.899999999999999" customHeight="1">
      <c r="A35" s="1029"/>
      <c r="B35" s="1036"/>
      <c r="C35" s="2154">
        <v>1</v>
      </c>
      <c r="D35" s="1053" t="s">
        <v>100</v>
      </c>
      <c r="E35" s="1054"/>
      <c r="F35" s="1026"/>
      <c r="G35" s="1029"/>
      <c r="H35" s="1029"/>
      <c r="I35" s="1029"/>
      <c r="J35" s="1029"/>
      <c r="K35" s="1029"/>
      <c r="L35" s="1026"/>
      <c r="M35" s="1038">
        <v>0</v>
      </c>
      <c r="N35"/>
      <c r="O35" s="493"/>
      <c r="P35" s="493"/>
      <c r="Q35" s="493"/>
      <c r="R35" s="493"/>
      <c r="S35" s="493"/>
      <c r="T35" s="653"/>
      <c r="U35" s="493"/>
      <c r="V35" s="493"/>
    </row>
    <row r="36" spans="1:22" ht="19.899999999999999" customHeight="1">
      <c r="A36" s="1029"/>
      <c r="B36" s="1036"/>
      <c r="C36" s="2154">
        <v>2</v>
      </c>
      <c r="D36" s="1053" t="s">
        <v>101</v>
      </c>
      <c r="E36" s="1054"/>
      <c r="F36" s="1026"/>
      <c r="G36" s="1029"/>
      <c r="H36" s="1029"/>
      <c r="I36" s="1029"/>
      <c r="J36" s="1029"/>
      <c r="K36" s="1029"/>
      <c r="L36" s="1026"/>
      <c r="M36" s="1038">
        <v>0</v>
      </c>
      <c r="N36"/>
      <c r="O36" s="493"/>
      <c r="P36" s="493"/>
      <c r="Q36" s="493"/>
      <c r="R36" s="493"/>
      <c r="S36" s="493"/>
      <c r="T36" s="653"/>
      <c r="U36" s="493"/>
      <c r="V36" s="493"/>
    </row>
    <row r="37" spans="1:22" ht="19.899999999999999" customHeight="1">
      <c r="A37" s="1029"/>
      <c r="B37" s="1036"/>
      <c r="C37" s="2154">
        <v>3</v>
      </c>
      <c r="D37" s="1053" t="s">
        <v>102</v>
      </c>
      <c r="E37" s="1054"/>
      <c r="F37" s="1026"/>
      <c r="G37" s="1029"/>
      <c r="H37" s="1029"/>
      <c r="I37" s="1029"/>
      <c r="J37" s="1029"/>
      <c r="K37" s="1029"/>
      <c r="L37" s="1026"/>
      <c r="M37" s="1038">
        <v>0</v>
      </c>
      <c r="N37"/>
      <c r="O37" s="493"/>
      <c r="P37" s="493"/>
      <c r="Q37" s="493"/>
      <c r="R37" s="493"/>
      <c r="S37" s="493"/>
      <c r="T37" s="653"/>
      <c r="U37" s="493"/>
      <c r="V37" s="493"/>
    </row>
    <row r="38" spans="1:22" ht="19.899999999999999" customHeight="1">
      <c r="A38" s="1029"/>
      <c r="B38" s="1036"/>
      <c r="C38" s="2154">
        <v>4</v>
      </c>
      <c r="D38" s="1053" t="s">
        <v>103</v>
      </c>
      <c r="E38" s="1054"/>
      <c r="F38" s="1026"/>
      <c r="G38" s="1029"/>
      <c r="H38" s="1029"/>
      <c r="I38" s="1029"/>
      <c r="J38" s="1029"/>
      <c r="K38" s="1026"/>
      <c r="L38" s="1026"/>
      <c r="M38" s="1038">
        <v>0</v>
      </c>
      <c r="N38"/>
      <c r="O38" s="493"/>
      <c r="P38" s="493"/>
      <c r="Q38" s="493"/>
      <c r="R38" s="493"/>
      <c r="S38" s="493"/>
      <c r="T38" s="653"/>
      <c r="U38" s="493"/>
      <c r="V38" s="493"/>
    </row>
    <row r="39" spans="1:22" ht="19.899999999999999" customHeight="1">
      <c r="A39" s="1029"/>
      <c r="B39" s="1036"/>
      <c r="C39" s="2154">
        <v>5</v>
      </c>
      <c r="D39" s="1053" t="s">
        <v>104</v>
      </c>
      <c r="E39" s="1055"/>
      <c r="F39" s="1026"/>
      <c r="G39" s="1029"/>
      <c r="H39" s="1029"/>
      <c r="I39" s="1029"/>
      <c r="J39" s="1029"/>
      <c r="K39" s="1029"/>
      <c r="L39" s="1026"/>
      <c r="M39" s="1038">
        <v>146281701</v>
      </c>
      <c r="N39"/>
      <c r="O39" s="493"/>
      <c r="P39" s="493"/>
      <c r="Q39" s="493"/>
      <c r="R39" s="493"/>
      <c r="S39" s="493"/>
      <c r="T39" s="653"/>
      <c r="U39" s="493"/>
      <c r="V39" s="493"/>
    </row>
    <row r="40" spans="1:22" ht="19.899999999999999" customHeight="1">
      <c r="A40" s="1029"/>
      <c r="B40" s="1036"/>
      <c r="C40" s="2154">
        <v>6</v>
      </c>
      <c r="D40" s="1053" t="s">
        <v>105</v>
      </c>
      <c r="E40" s="1054"/>
      <c r="F40" s="1029"/>
      <c r="G40" s="1029"/>
      <c r="H40" s="1029"/>
      <c r="I40" s="1029"/>
      <c r="J40" s="1029"/>
      <c r="K40" s="1029"/>
      <c r="L40" s="1026"/>
      <c r="M40" s="1038">
        <v>0</v>
      </c>
      <c r="N40"/>
      <c r="O40" s="493"/>
      <c r="P40" s="493"/>
      <c r="Q40" s="493"/>
      <c r="R40" s="493"/>
      <c r="S40" s="493"/>
      <c r="T40" s="653"/>
      <c r="U40" s="493"/>
      <c r="V40" s="493"/>
    </row>
    <row r="41" spans="1:22" ht="19.899999999999999" customHeight="1">
      <c r="A41" s="1029"/>
      <c r="B41" s="1036"/>
      <c r="C41" s="2154">
        <v>7</v>
      </c>
      <c r="D41" s="1053" t="s">
        <v>106</v>
      </c>
      <c r="E41" s="1054"/>
      <c r="F41" s="1029"/>
      <c r="G41" s="1029"/>
      <c r="H41" s="1029"/>
      <c r="I41" s="1029"/>
      <c r="J41" s="1029"/>
      <c r="K41" s="1029"/>
      <c r="L41" s="1026"/>
      <c r="M41" s="1038">
        <v>0</v>
      </c>
      <c r="N41"/>
      <c r="O41" s="493"/>
      <c r="P41" s="493"/>
      <c r="Q41" s="493"/>
      <c r="R41" s="493"/>
      <c r="S41" s="493"/>
      <c r="T41" s="653"/>
      <c r="U41" s="493"/>
      <c r="V41" s="493"/>
    </row>
    <row r="42" spans="1:22" ht="19.899999999999999" customHeight="1">
      <c r="A42" s="1029"/>
      <c r="B42" s="1036"/>
      <c r="C42" s="2154">
        <v>8</v>
      </c>
      <c r="D42" s="1053" t="s">
        <v>107</v>
      </c>
      <c r="E42" s="1054"/>
      <c r="F42" s="1029"/>
      <c r="G42" s="1029"/>
      <c r="H42" s="1029"/>
      <c r="I42" s="1029"/>
      <c r="J42" s="1029"/>
      <c r="K42" s="1029"/>
      <c r="L42" s="1026"/>
      <c r="M42" s="1038">
        <v>800899.78</v>
      </c>
      <c r="N42"/>
      <c r="O42" s="493"/>
      <c r="P42" s="493"/>
      <c r="Q42" s="493"/>
      <c r="R42" s="493"/>
      <c r="S42" s="493"/>
      <c r="T42" s="653"/>
      <c r="U42" s="493"/>
      <c r="V42" s="493"/>
    </row>
    <row r="43" spans="1:22" ht="19.899999999999999" customHeight="1">
      <c r="A43" s="1029"/>
      <c r="B43" s="1036"/>
      <c r="C43" s="2154">
        <v>9</v>
      </c>
      <c r="D43" s="1053" t="s">
        <v>108</v>
      </c>
      <c r="E43" s="1054"/>
      <c r="F43" s="1029"/>
      <c r="G43" s="1029"/>
      <c r="H43" s="1029"/>
      <c r="I43" s="1029"/>
      <c r="J43" s="1029"/>
      <c r="K43" s="1029"/>
      <c r="L43" s="1026"/>
      <c r="M43" s="1038">
        <v>45228606.200000003</v>
      </c>
      <c r="N43"/>
      <c r="O43" s="493"/>
      <c r="P43" s="493"/>
      <c r="Q43" s="493"/>
      <c r="R43" s="493"/>
      <c r="S43" s="493"/>
      <c r="T43" s="653"/>
      <c r="U43" s="493"/>
      <c r="V43" s="493"/>
    </row>
    <row r="44" spans="1:22" ht="19.899999999999999" customHeight="1">
      <c r="A44" s="1029"/>
      <c r="B44" s="1036"/>
      <c r="C44" s="2154">
        <v>10</v>
      </c>
      <c r="D44" s="1056" t="s">
        <v>109</v>
      </c>
      <c r="E44" s="1054"/>
      <c r="F44" s="1029"/>
      <c r="G44" s="1029"/>
      <c r="H44" s="1029"/>
      <c r="I44" s="1029"/>
      <c r="J44" s="1029"/>
      <c r="K44" s="1029"/>
      <c r="L44" s="1026"/>
      <c r="M44" s="1038">
        <v>0</v>
      </c>
      <c r="N44"/>
      <c r="O44" s="493"/>
      <c r="P44" s="493"/>
      <c r="Q44" s="493"/>
      <c r="R44" s="493"/>
      <c r="S44" s="493"/>
      <c r="T44" s="653"/>
      <c r="U44" s="493"/>
      <c r="V44" s="493"/>
    </row>
    <row r="45" spans="1:22" ht="19.899999999999999" customHeight="1">
      <c r="A45" s="1029"/>
      <c r="B45" s="1036"/>
      <c r="C45" s="2154">
        <v>11</v>
      </c>
      <c r="D45" s="1057" t="s">
        <v>315</v>
      </c>
      <c r="E45" s="1054"/>
      <c r="F45" s="1029"/>
      <c r="G45" s="1029"/>
      <c r="H45" s="1029"/>
      <c r="I45" s="1029"/>
      <c r="J45" s="1029"/>
      <c r="K45" s="1029"/>
      <c r="L45" s="1026"/>
      <c r="M45" s="1038">
        <v>0</v>
      </c>
      <c r="N45"/>
      <c r="O45" s="493"/>
      <c r="P45" s="493"/>
      <c r="Q45" s="493"/>
      <c r="R45" s="493"/>
      <c r="S45" s="493"/>
      <c r="T45" s="653"/>
      <c r="U45" s="493"/>
      <c r="V45" s="493"/>
    </row>
    <row r="46" spans="1:22" ht="19.899999999999999" customHeight="1">
      <c r="A46" s="1029"/>
      <c r="B46" s="1058">
        <f>+B29+1</f>
        <v>5</v>
      </c>
      <c r="C46" s="1059"/>
      <c r="D46" s="1059"/>
      <c r="E46" s="1059"/>
      <c r="F46" s="1059"/>
      <c r="G46" s="1059"/>
      <c r="H46" s="1059"/>
      <c r="I46" s="3" t="s">
        <v>640</v>
      </c>
      <c r="J46" s="1060"/>
      <c r="K46" s="1026"/>
      <c r="L46" s="1026"/>
      <c r="M46" s="1061">
        <f>+M32-SUM(M35:M45)</f>
        <v>4006674.849999994</v>
      </c>
      <c r="N46"/>
      <c r="O46" s="493"/>
      <c r="P46" s="493"/>
      <c r="Q46" s="493"/>
      <c r="R46" s="493"/>
      <c r="S46" s="493"/>
      <c r="T46" s="653"/>
      <c r="U46" s="493"/>
      <c r="V46" s="493"/>
    </row>
    <row r="47" spans="1:22" ht="19.899999999999999" customHeight="1">
      <c r="A47" s="1029"/>
      <c r="B47" s="1058"/>
      <c r="C47" s="1059"/>
      <c r="D47" s="1059"/>
      <c r="E47" s="1059"/>
      <c r="F47" s="1059"/>
      <c r="G47" s="1059"/>
      <c r="H47" s="1059"/>
      <c r="I47" s="1059"/>
      <c r="J47" s="1059"/>
      <c r="K47" s="1029"/>
      <c r="L47" s="1062"/>
      <c r="M47" s="1041"/>
      <c r="N47"/>
      <c r="O47" s="493"/>
      <c r="P47" s="493"/>
      <c r="Q47" s="493"/>
      <c r="R47" s="493"/>
      <c r="S47" s="493"/>
      <c r="T47" s="653"/>
      <c r="U47" s="493"/>
      <c r="V47" s="493"/>
    </row>
    <row r="48" spans="1:22" ht="39.75" customHeight="1">
      <c r="A48" s="1029"/>
      <c r="B48" s="1058">
        <f>+B46+1</f>
        <v>6</v>
      </c>
      <c r="C48" s="2258" t="s">
        <v>591</v>
      </c>
      <c r="D48" s="2258"/>
      <c r="E48" s="2258"/>
      <c r="F48" s="2258"/>
      <c r="G48" s="2258"/>
      <c r="H48" s="2258"/>
      <c r="I48" s="2258"/>
      <c r="J48" s="2258"/>
      <c r="K48" s="1038">
        <v>0</v>
      </c>
      <c r="L48" s="1039"/>
      <c r="M48" s="1038">
        <v>0</v>
      </c>
      <c r="N48"/>
      <c r="O48" s="493"/>
      <c r="P48" s="493"/>
      <c r="Q48" s="493"/>
      <c r="R48" s="493"/>
      <c r="S48" s="493"/>
      <c r="T48" s="653"/>
      <c r="U48" s="493"/>
      <c r="V48" s="493"/>
    </row>
    <row r="49" spans="1:22" ht="19.899999999999999" customHeight="1">
      <c r="A49" s="1029"/>
      <c r="B49" s="1058"/>
      <c r="C49" s="2"/>
      <c r="D49" s="1063"/>
      <c r="E49" s="1063"/>
      <c r="F49" s="1064"/>
      <c r="G49" s="1065"/>
      <c r="H49" s="1064"/>
      <c r="I49" s="1064"/>
      <c r="J49" s="1064"/>
      <c r="K49" s="1066"/>
      <c r="L49" s="1039"/>
      <c r="M49" s="1066"/>
      <c r="N49"/>
      <c r="O49" s="493"/>
      <c r="P49" s="493"/>
      <c r="Q49" s="493"/>
      <c r="R49" s="493"/>
      <c r="S49" s="493"/>
      <c r="T49" s="653"/>
      <c r="U49" s="493"/>
      <c r="V49" s="493"/>
    </row>
    <row r="50" spans="1:22" ht="19.5">
      <c r="A50" s="1029"/>
      <c r="B50" s="1058">
        <f>+B48+1</f>
        <v>7</v>
      </c>
      <c r="C50" s="2258" t="s">
        <v>592</v>
      </c>
      <c r="D50" s="2258"/>
      <c r="E50" s="2258"/>
      <c r="F50" s="2258"/>
      <c r="G50" s="2258"/>
      <c r="H50" s="2258"/>
      <c r="I50" s="2258"/>
      <c r="J50" s="2258"/>
      <c r="K50" s="1038">
        <v>0</v>
      </c>
      <c r="L50" s="1039"/>
      <c r="M50" s="1038">
        <v>0</v>
      </c>
      <c r="N50"/>
      <c r="O50" s="493"/>
      <c r="P50" s="493"/>
      <c r="Q50" s="493"/>
      <c r="R50" s="493"/>
      <c r="S50" s="493"/>
      <c r="T50" s="653"/>
      <c r="U50" s="493"/>
      <c r="V50" s="493"/>
    </row>
    <row r="51" spans="1:22" ht="19.899999999999999" customHeight="1">
      <c r="A51" s="1029"/>
      <c r="B51" s="1058"/>
      <c r="C51" s="3"/>
      <c r="D51" s="1060"/>
      <c r="E51" s="1060"/>
      <c r="F51" s="1059"/>
      <c r="G51" s="1067"/>
      <c r="H51" s="1059"/>
      <c r="I51" s="1059"/>
      <c r="J51" s="1059"/>
      <c r="K51" s="1066"/>
      <c r="L51" s="1039"/>
      <c r="M51" s="1066"/>
      <c r="N51"/>
      <c r="O51" s="493"/>
      <c r="P51" s="493"/>
      <c r="Q51" s="493"/>
      <c r="R51" s="493"/>
      <c r="S51" s="493"/>
      <c r="T51" s="653"/>
      <c r="U51" s="493"/>
      <c r="V51" s="493"/>
    </row>
    <row r="52" spans="1:22" ht="20.25" customHeight="1" thickBot="1">
      <c r="A52" s="1029"/>
      <c r="B52" s="1058">
        <f>+B50+1</f>
        <v>8</v>
      </c>
      <c r="C52" s="3" t="str">
        <f>"Total Revenue Credits - Sum lines "&amp;B12&amp;" through "&amp;B50&amp;""</f>
        <v>Total Revenue Credits - Sum lines 1 through 7</v>
      </c>
      <c r="D52" s="1060"/>
      <c r="E52" s="1060"/>
      <c r="F52" s="1059"/>
      <c r="G52" s="1060"/>
      <c r="H52" s="1060"/>
      <c r="I52" s="1059"/>
      <c r="J52" s="1059"/>
      <c r="K52" s="1029"/>
      <c r="L52" s="1029"/>
      <c r="M52" s="1068">
        <f>+M12+M14+M22+M29+M46+M48+M50</f>
        <v>4150419.8739999942</v>
      </c>
      <c r="N52"/>
      <c r="O52" s="493"/>
      <c r="P52" s="493"/>
      <c r="Q52" s="493"/>
      <c r="R52" s="493"/>
      <c r="S52" s="493"/>
      <c r="T52" s="546"/>
      <c r="U52" s="493"/>
      <c r="V52" s="493"/>
    </row>
    <row r="53" spans="1:22" ht="19.899999999999999" customHeight="1" thickTop="1">
      <c r="A53" s="1029"/>
      <c r="B53" s="1029"/>
      <c r="C53" s="1029"/>
      <c r="D53" s="57"/>
      <c r="E53" s="1029"/>
      <c r="F53" s="1029"/>
      <c r="G53" s="1029"/>
      <c r="H53" s="1029"/>
      <c r="I53" s="1029"/>
      <c r="J53" s="1029"/>
      <c r="K53" s="1029"/>
      <c r="L53" s="1062"/>
      <c r="M53" s="493"/>
      <c r="N53" s="493"/>
      <c r="O53" s="493"/>
      <c r="P53" s="493"/>
      <c r="Q53" s="493"/>
      <c r="R53" s="493"/>
      <c r="S53" s="493"/>
      <c r="T53" s="653"/>
      <c r="U53" s="493"/>
      <c r="V53" s="493"/>
    </row>
    <row r="54" spans="1:22" ht="20.25">
      <c r="A54" s="1029"/>
      <c r="B54" s="1069"/>
      <c r="C54" s="1069"/>
      <c r="D54" s="1026"/>
      <c r="E54" s="1026"/>
      <c r="F54" s="1070"/>
      <c r="G54" s="1070"/>
      <c r="H54" s="1070"/>
      <c r="I54" s="1070"/>
      <c r="J54" s="1070"/>
      <c r="K54" s="1070"/>
      <c r="L54" s="1071"/>
      <c r="M54" s="493"/>
      <c r="N54" s="869"/>
      <c r="O54" s="869"/>
      <c r="P54" s="869"/>
      <c r="Q54" s="869"/>
      <c r="R54" s="589"/>
      <c r="S54" s="589"/>
      <c r="T54" s="493"/>
      <c r="U54" s="493"/>
      <c r="V54" s="493"/>
    </row>
    <row r="55" spans="1:22" ht="12.75">
      <c r="A55" s="1029"/>
      <c r="B55" s="1029"/>
      <c r="C55" s="1026"/>
      <c r="D55" s="1026"/>
      <c r="E55" s="1026"/>
      <c r="F55" s="1070"/>
      <c r="G55" s="1070"/>
      <c r="H55" s="1070"/>
      <c r="I55" s="1070"/>
      <c r="J55" s="1070"/>
      <c r="K55" s="1070"/>
      <c r="L55" s="1029"/>
      <c r="M55" s="493"/>
      <c r="N55" s="869"/>
      <c r="O55" s="869"/>
      <c r="P55" s="869"/>
      <c r="Q55" s="869"/>
      <c r="R55" s="493"/>
      <c r="S55" s="493"/>
      <c r="T55" s="493"/>
      <c r="U55" s="493"/>
      <c r="V55" s="493"/>
    </row>
    <row r="56" spans="1:22">
      <c r="A56" s="1029"/>
      <c r="B56" s="1029"/>
      <c r="C56" s="1041" t="s">
        <v>593</v>
      </c>
      <c r="E56" s="1026"/>
      <c r="F56" s="1070"/>
      <c r="G56" s="1070"/>
      <c r="H56" s="1070"/>
      <c r="I56" s="1070"/>
      <c r="J56" s="1070"/>
      <c r="K56" s="1070"/>
      <c r="L56" s="1029"/>
      <c r="M56" s="493"/>
      <c r="N56" s="869"/>
      <c r="O56" s="869"/>
      <c r="P56" s="869"/>
      <c r="Q56" s="869"/>
      <c r="R56" s="493"/>
      <c r="S56" s="493"/>
      <c r="T56" s="493"/>
      <c r="U56" s="493"/>
      <c r="V56" s="493"/>
    </row>
    <row r="57" spans="1:22" ht="12.75" customHeight="1">
      <c r="A57" s="493"/>
      <c r="B57" s="493"/>
      <c r="C57" s="493"/>
      <c r="D57" s="493"/>
      <c r="E57" s="493"/>
      <c r="F57" s="493"/>
      <c r="G57" s="493"/>
      <c r="H57" s="493"/>
      <c r="I57" s="493"/>
      <c r="J57" s="493"/>
      <c r="K57" s="493"/>
      <c r="L57" s="493"/>
      <c r="M57" s="493"/>
      <c r="N57" s="493"/>
      <c r="O57" s="493"/>
      <c r="P57" s="493"/>
      <c r="Q57" s="493"/>
      <c r="R57" s="493"/>
      <c r="S57" s="493"/>
      <c r="T57" s="493"/>
      <c r="U57" s="493"/>
      <c r="V57" s="493"/>
    </row>
    <row r="58" spans="1:22" ht="12.75" customHeight="1">
      <c r="A58" s="493"/>
      <c r="B58" s="493"/>
      <c r="C58" s="493"/>
      <c r="D58" s="493"/>
      <c r="E58" s="493"/>
      <c r="F58" s="493"/>
      <c r="G58" s="493"/>
      <c r="H58" s="493"/>
      <c r="I58" s="493"/>
      <c r="J58" s="493"/>
      <c r="K58" s="493"/>
      <c r="L58" s="493"/>
      <c r="M58" s="493"/>
      <c r="N58" s="493"/>
      <c r="O58" s="493"/>
      <c r="P58" s="493"/>
      <c r="Q58" s="493"/>
      <c r="R58" s="493"/>
      <c r="S58" s="493"/>
      <c r="T58" s="493"/>
      <c r="U58" s="493"/>
      <c r="V58" s="493"/>
    </row>
    <row r="59" spans="1:22" ht="12.75" customHeight="1">
      <c r="A59" s="493"/>
      <c r="B59" s="493"/>
      <c r="C59" s="493"/>
      <c r="D59" s="493"/>
      <c r="E59" s="493"/>
      <c r="F59" s="493"/>
      <c r="G59" s="493"/>
      <c r="H59" s="493"/>
      <c r="I59" s="493"/>
      <c r="J59" s="493"/>
      <c r="K59" s="493"/>
      <c r="L59" s="493"/>
      <c r="M59" s="493"/>
      <c r="N59" s="493"/>
      <c r="O59" s="493"/>
      <c r="P59" s="493"/>
      <c r="Q59" s="493"/>
      <c r="R59" s="493"/>
      <c r="S59" s="493"/>
      <c r="T59" s="493"/>
      <c r="U59" s="493"/>
      <c r="V59" s="493"/>
    </row>
    <row r="60" spans="1:22" ht="12.75" customHeight="1">
      <c r="A60" s="493"/>
      <c r="B60" s="493"/>
      <c r="C60" s="493"/>
      <c r="D60" s="493"/>
      <c r="E60" s="493"/>
      <c r="F60" s="493"/>
      <c r="G60" s="493"/>
      <c r="H60" s="493"/>
      <c r="I60" s="493"/>
      <c r="J60" s="493"/>
      <c r="K60" s="493"/>
      <c r="L60" s="493"/>
      <c r="M60" s="493"/>
      <c r="N60" s="493"/>
      <c r="O60" s="493"/>
      <c r="P60" s="493"/>
      <c r="Q60" s="493"/>
      <c r="R60" s="493"/>
      <c r="S60" s="493"/>
      <c r="T60" s="493"/>
      <c r="U60" s="493"/>
      <c r="V60" s="493"/>
    </row>
    <row r="61" spans="1:22" ht="12.75" customHeight="1">
      <c r="A61" s="493"/>
      <c r="B61" s="493"/>
      <c r="C61" s="493"/>
      <c r="D61" s="493"/>
      <c r="E61" s="493"/>
      <c r="F61" s="493"/>
      <c r="G61" s="493"/>
      <c r="H61" s="493"/>
      <c r="I61" s="493"/>
      <c r="J61" s="493"/>
      <c r="K61" s="493"/>
      <c r="L61" s="493"/>
      <c r="M61" s="493"/>
      <c r="N61" s="493"/>
      <c r="O61" s="493"/>
      <c r="P61" s="493"/>
      <c r="Q61" s="493"/>
      <c r="R61" s="493"/>
      <c r="S61" s="493"/>
      <c r="T61" s="493"/>
      <c r="U61" s="493"/>
      <c r="V61" s="493"/>
    </row>
    <row r="62" spans="1:22" ht="12.75" customHeight="1">
      <c r="A62" s="493"/>
      <c r="B62" s="493"/>
      <c r="C62" s="493"/>
      <c r="D62" s="493"/>
      <c r="E62" s="493"/>
      <c r="F62" s="493"/>
      <c r="G62" s="493"/>
      <c r="H62" s="493"/>
      <c r="I62" s="493"/>
      <c r="J62" s="493"/>
      <c r="K62" s="493"/>
      <c r="L62" s="493"/>
      <c r="M62" s="493"/>
      <c r="N62" s="493"/>
      <c r="O62" s="493"/>
      <c r="P62" s="493"/>
      <c r="Q62" s="493"/>
      <c r="R62" s="493"/>
      <c r="S62" s="493"/>
      <c r="T62" s="493"/>
      <c r="U62" s="493"/>
      <c r="V62" s="493"/>
    </row>
    <row r="63" spans="1:22" ht="12.75" customHeight="1">
      <c r="A63" s="493"/>
      <c r="B63" s="493"/>
      <c r="C63" s="493"/>
      <c r="D63" s="493"/>
      <c r="E63" s="493"/>
      <c r="F63" s="493"/>
      <c r="G63" s="493"/>
      <c r="H63" s="493"/>
      <c r="I63" s="493"/>
      <c r="J63" s="493"/>
      <c r="K63" s="493"/>
      <c r="L63" s="493"/>
      <c r="M63" s="493"/>
      <c r="N63" s="493"/>
      <c r="O63" s="493"/>
      <c r="P63" s="493"/>
      <c r="Q63" s="493"/>
      <c r="R63" s="493"/>
      <c r="S63" s="493"/>
      <c r="T63" s="493"/>
      <c r="U63" s="493"/>
      <c r="V63" s="493"/>
    </row>
    <row r="64" spans="1:22" ht="12.75" customHeight="1">
      <c r="A64" s="493"/>
      <c r="B64" s="493"/>
      <c r="C64" s="493"/>
      <c r="D64" s="493"/>
      <c r="E64" s="493"/>
      <c r="F64" s="493"/>
      <c r="G64" s="493"/>
      <c r="H64" s="493"/>
      <c r="I64" s="493"/>
      <c r="J64" s="493"/>
      <c r="K64" s="493"/>
      <c r="L64" s="493"/>
      <c r="M64" s="493"/>
      <c r="N64" s="493"/>
      <c r="O64" s="493"/>
      <c r="P64" s="493"/>
      <c r="Q64" s="493"/>
      <c r="R64" s="493"/>
      <c r="S64" s="493"/>
      <c r="T64" s="493"/>
      <c r="U64" s="493"/>
      <c r="V64" s="493"/>
    </row>
    <row r="65" spans="1:22" ht="12.75" customHeight="1">
      <c r="A65" s="493"/>
      <c r="B65" s="493"/>
      <c r="C65" s="493"/>
      <c r="D65" s="493"/>
      <c r="E65" s="493"/>
      <c r="F65" s="493"/>
      <c r="G65" s="493"/>
      <c r="H65" s="493"/>
      <c r="I65" s="493"/>
      <c r="J65" s="493"/>
      <c r="K65" s="493"/>
      <c r="L65" s="493"/>
      <c r="M65" s="493"/>
      <c r="N65" s="493"/>
      <c r="O65" s="493"/>
      <c r="P65" s="493"/>
      <c r="Q65" s="493"/>
      <c r="R65" s="493"/>
      <c r="S65" s="493"/>
      <c r="T65" s="493"/>
      <c r="U65" s="493"/>
      <c r="V65" s="493"/>
    </row>
    <row r="66" spans="1:22" ht="12.75">
      <c r="A66" s="493"/>
      <c r="B66" s="493"/>
      <c r="C66" s="493"/>
      <c r="D66" s="493"/>
      <c r="E66" s="493"/>
      <c r="F66" s="493"/>
      <c r="G66" s="493"/>
      <c r="H66" s="493"/>
      <c r="I66" s="493"/>
      <c r="J66" s="493"/>
      <c r="K66" s="493"/>
      <c r="L66" s="493"/>
      <c r="M66" s="493"/>
      <c r="N66" s="493"/>
      <c r="O66" s="493"/>
      <c r="P66" s="493"/>
      <c r="Q66" s="493"/>
      <c r="R66" s="493"/>
      <c r="S66" s="493"/>
      <c r="T66" s="493"/>
      <c r="U66" s="493"/>
      <c r="V66" s="493"/>
    </row>
    <row r="67" spans="1:22" ht="12.75">
      <c r="A67" s="493"/>
      <c r="B67" s="493"/>
      <c r="C67" s="493"/>
      <c r="D67" s="493"/>
      <c r="E67" s="493"/>
      <c r="F67" s="493"/>
      <c r="G67" s="493"/>
      <c r="H67" s="493"/>
      <c r="I67" s="493"/>
      <c r="J67" s="493"/>
      <c r="K67" s="493"/>
      <c r="L67" s="493"/>
      <c r="M67" s="493"/>
      <c r="N67" s="493"/>
      <c r="O67" s="493"/>
      <c r="P67" s="493"/>
      <c r="Q67" s="493"/>
      <c r="R67" s="493"/>
      <c r="S67" s="493"/>
      <c r="T67" s="493"/>
      <c r="U67" s="493"/>
      <c r="V67" s="493"/>
    </row>
    <row r="68" spans="1:22" ht="12.75">
      <c r="A68" s="493"/>
      <c r="B68" s="493"/>
      <c r="C68" s="493"/>
      <c r="D68" s="493"/>
      <c r="E68" s="493"/>
      <c r="F68" s="493"/>
      <c r="G68" s="493"/>
      <c r="H68" s="493"/>
      <c r="I68" s="493"/>
      <c r="J68" s="493"/>
      <c r="K68" s="493"/>
      <c r="L68" s="493"/>
      <c r="M68" s="493"/>
      <c r="N68" s="493"/>
      <c r="O68" s="493"/>
      <c r="P68" s="493"/>
      <c r="Q68" s="493"/>
      <c r="R68" s="493"/>
      <c r="S68" s="493"/>
      <c r="T68" s="493"/>
      <c r="U68" s="493"/>
      <c r="V68" s="493"/>
    </row>
    <row r="69" spans="1:22" ht="12.75">
      <c r="A69" s="493"/>
      <c r="B69" s="493"/>
      <c r="C69" s="493"/>
      <c r="D69" s="493"/>
      <c r="E69" s="493"/>
      <c r="F69" s="493"/>
      <c r="G69" s="493"/>
      <c r="H69" s="493"/>
      <c r="I69" s="493"/>
      <c r="J69" s="493"/>
      <c r="K69" s="493"/>
      <c r="L69" s="493"/>
      <c r="M69" s="493"/>
      <c r="N69" s="493"/>
      <c r="O69" s="493"/>
      <c r="P69" s="493"/>
      <c r="Q69" s="493"/>
      <c r="R69" s="493"/>
      <c r="S69" s="493"/>
      <c r="T69" s="493"/>
      <c r="U69" s="493"/>
      <c r="V69" s="493"/>
    </row>
    <row r="70" spans="1:22" ht="12.75">
      <c r="A70" s="493"/>
      <c r="B70" s="493"/>
      <c r="C70" s="493"/>
      <c r="D70" s="493"/>
      <c r="E70" s="493"/>
      <c r="F70" s="493"/>
      <c r="G70" s="493"/>
      <c r="H70" s="493"/>
      <c r="I70" s="493"/>
      <c r="J70" s="493"/>
      <c r="K70" s="493"/>
      <c r="L70" s="493"/>
      <c r="M70" s="493"/>
      <c r="N70" s="493"/>
      <c r="O70" s="493"/>
      <c r="P70" s="493"/>
      <c r="Q70" s="493"/>
      <c r="R70" s="493"/>
      <c r="S70" s="493"/>
      <c r="T70" s="493"/>
      <c r="U70" s="493"/>
      <c r="V70" s="493"/>
    </row>
    <row r="71" spans="1:22" ht="12.75">
      <c r="A71" s="493"/>
      <c r="B71" s="493"/>
      <c r="C71" s="493"/>
      <c r="D71" s="493"/>
      <c r="E71" s="493"/>
      <c r="F71" s="493"/>
      <c r="G71" s="493"/>
      <c r="H71" s="493"/>
      <c r="I71" s="493"/>
      <c r="J71" s="493"/>
      <c r="K71" s="493"/>
      <c r="L71" s="493"/>
      <c r="M71" s="493"/>
      <c r="N71" s="493"/>
      <c r="O71" s="493"/>
      <c r="P71" s="493"/>
      <c r="Q71" s="493"/>
      <c r="R71" s="493"/>
      <c r="S71" s="493"/>
      <c r="T71" s="493"/>
      <c r="U71" s="493"/>
      <c r="V71" s="493"/>
    </row>
    <row r="72" spans="1:22" ht="12.75">
      <c r="A72" s="493"/>
      <c r="B72" s="493"/>
      <c r="C72" s="493"/>
      <c r="D72" s="493"/>
      <c r="E72" s="493"/>
      <c r="F72" s="493"/>
      <c r="G72" s="493"/>
      <c r="H72" s="493"/>
      <c r="I72" s="493"/>
      <c r="J72" s="493"/>
      <c r="K72" s="493"/>
      <c r="L72" s="493"/>
      <c r="M72" s="493"/>
      <c r="N72" s="493"/>
      <c r="O72" s="493"/>
      <c r="P72" s="493"/>
      <c r="Q72" s="493"/>
      <c r="R72" s="493"/>
      <c r="S72" s="493"/>
      <c r="T72" s="493"/>
      <c r="U72" s="493"/>
      <c r="V72" s="493"/>
    </row>
    <row r="73" spans="1:22" ht="12.75">
      <c r="A73" s="493"/>
      <c r="B73" s="493"/>
      <c r="C73" s="493"/>
      <c r="D73" s="493"/>
      <c r="E73" s="493"/>
      <c r="F73" s="493"/>
      <c r="G73" s="493"/>
      <c r="H73" s="493"/>
      <c r="I73" s="493"/>
      <c r="J73" s="493"/>
      <c r="K73" s="493"/>
      <c r="L73" s="493"/>
      <c r="M73" s="493"/>
      <c r="N73" s="493"/>
      <c r="O73" s="493"/>
      <c r="P73" s="493"/>
      <c r="Q73" s="493"/>
      <c r="R73" s="493"/>
      <c r="S73" s="493"/>
      <c r="T73" s="493"/>
      <c r="U73" s="493"/>
      <c r="V73" s="493"/>
    </row>
    <row r="74" spans="1:22" ht="12.75">
      <c r="A74" s="493"/>
      <c r="B74" s="493"/>
      <c r="C74" s="493"/>
      <c r="D74" s="493"/>
      <c r="E74" s="493"/>
      <c r="F74" s="493"/>
      <c r="G74" s="493"/>
      <c r="H74" s="493"/>
      <c r="I74" s="493"/>
      <c r="J74" s="493"/>
      <c r="K74" s="493"/>
      <c r="L74" s="493"/>
      <c r="M74" s="493"/>
      <c r="N74" s="493"/>
      <c r="O74" s="493"/>
      <c r="P74" s="493"/>
      <c r="Q74" s="493"/>
      <c r="R74" s="493"/>
      <c r="S74" s="493"/>
      <c r="T74" s="493"/>
      <c r="U74" s="493"/>
      <c r="V74" s="493"/>
    </row>
    <row r="75" spans="1:22" ht="12.75">
      <c r="A75" s="493"/>
      <c r="B75" s="493"/>
      <c r="C75" s="493"/>
      <c r="D75" s="493"/>
      <c r="E75" s="493"/>
      <c r="F75" s="493"/>
      <c r="G75" s="493"/>
      <c r="H75" s="493"/>
      <c r="I75" s="493"/>
      <c r="J75" s="493"/>
      <c r="K75" s="493"/>
      <c r="L75" s="493"/>
      <c r="M75" s="493"/>
      <c r="N75" s="493"/>
      <c r="O75" s="493"/>
      <c r="P75" s="493"/>
      <c r="Q75" s="493"/>
      <c r="R75" s="493"/>
      <c r="S75" s="493"/>
      <c r="T75" s="493"/>
      <c r="U75" s="493"/>
      <c r="V75" s="493"/>
    </row>
    <row r="76" spans="1:22" ht="12.75">
      <c r="A76" s="493"/>
      <c r="B76" s="493"/>
      <c r="C76" s="493"/>
      <c r="D76" s="493"/>
      <c r="E76" s="493"/>
      <c r="F76" s="493"/>
      <c r="G76" s="493"/>
      <c r="H76" s="493"/>
      <c r="I76" s="493"/>
      <c r="J76" s="493"/>
      <c r="K76" s="493"/>
      <c r="L76" s="493"/>
      <c r="M76" s="493"/>
      <c r="N76" s="493"/>
      <c r="O76" s="493"/>
      <c r="P76" s="493"/>
      <c r="Q76" s="493"/>
      <c r="R76" s="493"/>
      <c r="S76" s="493"/>
      <c r="T76" s="493"/>
      <c r="U76" s="493"/>
      <c r="V76" s="493"/>
    </row>
    <row r="77" spans="1:22" ht="12.75">
      <c r="A77" s="493"/>
      <c r="B77" s="493"/>
      <c r="C77" s="493"/>
      <c r="D77" s="493"/>
      <c r="E77" s="493"/>
      <c r="F77" s="493"/>
      <c r="G77" s="493"/>
      <c r="H77" s="493"/>
      <c r="I77" s="493"/>
      <c r="J77" s="493"/>
      <c r="K77" s="493"/>
      <c r="L77" s="493"/>
      <c r="M77" s="493"/>
      <c r="N77" s="493"/>
      <c r="O77" s="493"/>
      <c r="P77" s="493"/>
      <c r="Q77" s="493"/>
      <c r="R77" s="493"/>
      <c r="S77" s="493"/>
      <c r="T77" s="493"/>
      <c r="U77" s="493"/>
      <c r="V77" s="493"/>
    </row>
    <row r="78" spans="1:22" ht="12.75">
      <c r="A78" s="493"/>
      <c r="B78" s="493"/>
      <c r="C78" s="493"/>
      <c r="D78" s="493"/>
      <c r="E78" s="493"/>
      <c r="F78" s="493"/>
      <c r="G78" s="493"/>
      <c r="H78" s="493"/>
      <c r="I78" s="493"/>
      <c r="J78" s="493"/>
      <c r="K78" s="493"/>
      <c r="L78" s="493"/>
      <c r="M78" s="493"/>
      <c r="N78" s="493"/>
      <c r="O78" s="493"/>
      <c r="P78" s="493"/>
      <c r="Q78" s="493"/>
      <c r="R78" s="493"/>
      <c r="S78" s="493"/>
      <c r="T78" s="493"/>
      <c r="U78" s="493"/>
      <c r="V78" s="493"/>
    </row>
    <row r="79" spans="1:22" ht="12.75">
      <c r="A79" s="493"/>
      <c r="B79" s="493"/>
      <c r="C79" s="493"/>
      <c r="D79" s="493"/>
      <c r="E79" s="493"/>
      <c r="F79" s="493"/>
      <c r="G79" s="493"/>
      <c r="H79" s="493"/>
      <c r="I79" s="493"/>
      <c r="J79" s="493"/>
      <c r="K79" s="493"/>
      <c r="L79" s="493"/>
      <c r="M79" s="493"/>
      <c r="N79" s="493"/>
      <c r="O79" s="493"/>
      <c r="P79" s="493"/>
      <c r="Q79" s="493"/>
      <c r="R79" s="493"/>
      <c r="S79" s="493"/>
      <c r="T79" s="493"/>
      <c r="U79" s="493"/>
      <c r="V79" s="493"/>
    </row>
    <row r="80" spans="1:22" ht="12.75">
      <c r="A80" s="493"/>
      <c r="B80" s="493"/>
      <c r="C80" s="493"/>
      <c r="D80" s="493"/>
      <c r="E80" s="493"/>
      <c r="F80" s="493"/>
      <c r="G80" s="493"/>
      <c r="H80" s="493"/>
      <c r="I80" s="493"/>
      <c r="J80" s="493"/>
      <c r="K80" s="493"/>
      <c r="L80" s="493"/>
      <c r="M80" s="493"/>
      <c r="N80" s="493"/>
      <c r="O80" s="493"/>
      <c r="P80" s="493"/>
      <c r="Q80" s="493"/>
      <c r="R80" s="493"/>
      <c r="S80" s="493"/>
      <c r="T80" s="493"/>
      <c r="U80" s="493"/>
      <c r="V80" s="493"/>
    </row>
    <row r="81" spans="1:22" ht="12.75">
      <c r="A81" s="493"/>
      <c r="B81" s="493"/>
      <c r="C81" s="493"/>
      <c r="D81" s="493"/>
      <c r="E81" s="493"/>
      <c r="F81" s="493"/>
      <c r="G81" s="493"/>
      <c r="H81" s="493"/>
      <c r="I81" s="493"/>
      <c r="J81" s="493"/>
      <c r="K81" s="493"/>
      <c r="L81" s="493"/>
      <c r="M81" s="493"/>
      <c r="N81" s="493"/>
      <c r="O81" s="493"/>
      <c r="P81" s="493"/>
      <c r="Q81" s="493"/>
      <c r="R81" s="493"/>
      <c r="S81" s="493"/>
      <c r="T81" s="493"/>
      <c r="U81" s="493"/>
      <c r="V81" s="493"/>
    </row>
    <row r="82" spans="1:22" ht="12.75">
      <c r="A82" s="493"/>
      <c r="B82" s="493"/>
      <c r="C82" s="493"/>
      <c r="D82" s="493"/>
      <c r="E82" s="493"/>
      <c r="F82" s="493"/>
      <c r="G82" s="493"/>
      <c r="H82" s="493"/>
      <c r="I82" s="493"/>
      <c r="J82" s="493"/>
      <c r="K82" s="493"/>
      <c r="L82" s="493"/>
      <c r="M82" s="493"/>
      <c r="N82" s="493"/>
      <c r="O82" s="493"/>
      <c r="P82" s="493"/>
      <c r="Q82" s="493"/>
      <c r="R82" s="493"/>
      <c r="S82" s="493"/>
      <c r="T82" s="493"/>
      <c r="U82" s="493"/>
      <c r="V82" s="493"/>
    </row>
    <row r="83" spans="1:22" ht="12.75">
      <c r="A83" s="493"/>
      <c r="B83" s="493"/>
      <c r="C83" s="493"/>
      <c r="D83" s="493"/>
      <c r="E83" s="493"/>
      <c r="F83" s="493"/>
      <c r="G83" s="493"/>
      <c r="H83" s="493"/>
      <c r="I83" s="493"/>
      <c r="J83" s="493"/>
      <c r="K83" s="493"/>
      <c r="L83" s="493"/>
      <c r="M83" s="493"/>
      <c r="N83" s="493"/>
      <c r="O83" s="493"/>
      <c r="P83" s="493"/>
      <c r="Q83" s="493"/>
      <c r="R83" s="493"/>
      <c r="S83" s="493"/>
      <c r="T83" s="493"/>
      <c r="U83" s="493"/>
      <c r="V83" s="493"/>
    </row>
    <row r="84" spans="1:22" ht="12.75">
      <c r="A84" s="493"/>
      <c r="B84" s="493"/>
      <c r="C84" s="493"/>
      <c r="D84" s="493"/>
      <c r="E84" s="493"/>
      <c r="F84" s="493"/>
      <c r="G84" s="493"/>
      <c r="H84" s="493"/>
      <c r="I84" s="493"/>
      <c r="J84" s="493"/>
      <c r="K84" s="493"/>
      <c r="L84" s="493"/>
      <c r="M84" s="493"/>
      <c r="N84" s="493"/>
      <c r="O84" s="493"/>
      <c r="P84" s="493"/>
      <c r="Q84" s="493"/>
      <c r="R84" s="493"/>
      <c r="S84" s="493"/>
      <c r="T84" s="493"/>
      <c r="U84" s="493"/>
      <c r="V84" s="493"/>
    </row>
    <row r="85" spans="1:22" ht="12.75">
      <c r="A85" s="493"/>
      <c r="B85" s="493"/>
      <c r="C85" s="493"/>
      <c r="D85" s="493"/>
      <c r="E85" s="493"/>
      <c r="F85" s="493"/>
      <c r="G85" s="493"/>
      <c r="H85" s="493"/>
      <c r="I85" s="493"/>
      <c r="J85" s="493"/>
      <c r="K85" s="493"/>
      <c r="L85" s="493"/>
      <c r="M85" s="493"/>
      <c r="N85" s="493"/>
      <c r="O85" s="493"/>
      <c r="P85" s="493"/>
      <c r="Q85" s="493"/>
      <c r="R85" s="493"/>
      <c r="S85" s="493"/>
      <c r="T85" s="493"/>
      <c r="U85" s="493"/>
      <c r="V85" s="493"/>
    </row>
    <row r="86" spans="1:22" ht="12.75" customHeight="1">
      <c r="A86" s="493"/>
      <c r="B86" s="493"/>
      <c r="C86" s="493"/>
      <c r="D86" s="493"/>
      <c r="E86" s="493"/>
      <c r="F86" s="493"/>
      <c r="G86" s="493"/>
      <c r="H86" s="493"/>
      <c r="I86" s="493"/>
      <c r="J86" s="493"/>
      <c r="K86" s="493"/>
      <c r="L86" s="493"/>
      <c r="M86" s="493"/>
      <c r="N86" s="493"/>
      <c r="O86" s="493"/>
      <c r="P86" s="493"/>
      <c r="Q86" s="493"/>
      <c r="R86" s="493"/>
      <c r="S86" s="493"/>
      <c r="T86" s="493"/>
      <c r="U86" s="493"/>
      <c r="V86" s="493"/>
    </row>
    <row r="87" spans="1:22" ht="12.75" customHeight="1">
      <c r="A87" s="493"/>
      <c r="B87" s="493"/>
      <c r="C87" s="493"/>
      <c r="D87" s="493"/>
      <c r="E87" s="493"/>
      <c r="F87" s="493"/>
      <c r="G87" s="493"/>
      <c r="H87" s="493"/>
      <c r="I87" s="493"/>
      <c r="J87" s="493"/>
      <c r="K87" s="493"/>
      <c r="L87" s="493"/>
      <c r="M87" s="493"/>
      <c r="N87" s="493"/>
      <c r="O87" s="493"/>
      <c r="P87" s="493"/>
      <c r="Q87" s="493"/>
      <c r="R87" s="493"/>
      <c r="S87" s="493"/>
      <c r="T87" s="493"/>
      <c r="U87" s="493"/>
      <c r="V87" s="493"/>
    </row>
    <row r="88" spans="1:22" ht="12.75" customHeight="1">
      <c r="A88" s="493"/>
      <c r="B88" s="493"/>
      <c r="C88" s="493"/>
      <c r="D88" s="493"/>
      <c r="E88" s="493"/>
      <c r="F88" s="493"/>
      <c r="G88" s="493"/>
      <c r="H88" s="493"/>
      <c r="I88" s="493"/>
      <c r="J88" s="493"/>
      <c r="K88" s="493"/>
      <c r="L88" s="493"/>
      <c r="M88" s="493"/>
      <c r="N88" s="493"/>
      <c r="O88" s="493"/>
      <c r="P88" s="493"/>
      <c r="Q88" s="493"/>
      <c r="R88" s="493"/>
      <c r="S88" s="493"/>
      <c r="T88" s="493"/>
      <c r="U88" s="493"/>
      <c r="V88" s="493"/>
    </row>
    <row r="89" spans="1:22" ht="12.75">
      <c r="A89" s="493"/>
      <c r="B89" s="493"/>
      <c r="C89" s="493"/>
      <c r="D89" s="493"/>
      <c r="E89" s="493"/>
      <c r="F89" s="493"/>
      <c r="G89" s="493"/>
      <c r="H89" s="493"/>
      <c r="I89" s="493"/>
      <c r="J89" s="493"/>
      <c r="K89" s="493"/>
      <c r="L89" s="493"/>
      <c r="M89" s="493"/>
      <c r="N89" s="493"/>
      <c r="O89" s="493"/>
      <c r="P89" s="493"/>
      <c r="Q89" s="493"/>
      <c r="R89" s="493"/>
      <c r="S89" s="493"/>
      <c r="T89" s="493"/>
      <c r="U89" s="493"/>
      <c r="V89" s="493"/>
    </row>
    <row r="90" spans="1:22" ht="12.75">
      <c r="A90" s="493"/>
      <c r="B90" s="493"/>
      <c r="C90" s="493"/>
      <c r="D90" s="493"/>
      <c r="E90" s="493"/>
      <c r="F90" s="493"/>
      <c r="G90" s="493"/>
      <c r="H90" s="493"/>
      <c r="I90" s="493"/>
      <c r="J90" s="493"/>
      <c r="K90" s="493"/>
      <c r="L90" s="493"/>
      <c r="M90" s="493"/>
      <c r="N90" s="493"/>
      <c r="O90" s="493"/>
      <c r="P90" s="493"/>
      <c r="Q90" s="493"/>
      <c r="R90" s="493"/>
      <c r="S90" s="493"/>
      <c r="T90" s="493"/>
      <c r="U90" s="493"/>
      <c r="V90" s="493"/>
    </row>
    <row r="91" spans="1:22" ht="12.75">
      <c r="A91" s="493"/>
      <c r="B91" s="493"/>
      <c r="C91" s="493"/>
      <c r="D91" s="493"/>
      <c r="E91" s="493"/>
      <c r="F91" s="493"/>
      <c r="G91" s="493"/>
      <c r="H91" s="493"/>
      <c r="I91" s="493"/>
      <c r="J91" s="493"/>
      <c r="K91" s="493"/>
      <c r="L91" s="493"/>
      <c r="M91" s="493"/>
      <c r="N91" s="493"/>
      <c r="O91" s="493"/>
      <c r="P91" s="493"/>
      <c r="Q91" s="493"/>
      <c r="R91" s="493"/>
      <c r="S91" s="493"/>
      <c r="T91" s="493"/>
      <c r="U91" s="493"/>
      <c r="V91" s="493"/>
    </row>
    <row r="92" spans="1:22" ht="12.75">
      <c r="A92" s="493"/>
      <c r="B92" s="493"/>
      <c r="C92" s="493"/>
      <c r="D92" s="493"/>
      <c r="E92" s="493"/>
      <c r="F92" s="493"/>
      <c r="G92" s="493"/>
      <c r="H92" s="493"/>
      <c r="I92" s="493"/>
      <c r="J92" s="493"/>
      <c r="K92" s="493"/>
      <c r="L92" s="493"/>
      <c r="M92" s="493"/>
      <c r="N92" s="493"/>
      <c r="O92" s="493"/>
      <c r="P92" s="493"/>
      <c r="Q92" s="493"/>
      <c r="R92" s="493"/>
      <c r="S92" s="493"/>
      <c r="T92" s="493"/>
      <c r="U92" s="493"/>
      <c r="V92" s="493"/>
    </row>
    <row r="93" spans="1:22" ht="12.75">
      <c r="A93" s="493"/>
      <c r="B93" s="493"/>
      <c r="C93" s="493"/>
      <c r="D93" s="493"/>
      <c r="E93" s="493"/>
      <c r="F93" s="493"/>
      <c r="G93" s="493"/>
      <c r="H93" s="493"/>
      <c r="I93" s="493"/>
      <c r="J93" s="493"/>
      <c r="K93" s="493"/>
      <c r="L93" s="493"/>
      <c r="M93" s="493"/>
      <c r="N93" s="493"/>
      <c r="O93" s="493"/>
      <c r="P93" s="493"/>
      <c r="Q93" s="493"/>
      <c r="R93" s="493"/>
      <c r="S93" s="493"/>
      <c r="T93" s="493"/>
      <c r="U93" s="493"/>
      <c r="V93" s="493"/>
    </row>
    <row r="94" spans="1:22" ht="12.75">
      <c r="A94" s="493"/>
      <c r="B94" s="493"/>
      <c r="C94" s="493"/>
      <c r="D94" s="493"/>
      <c r="E94" s="493"/>
      <c r="F94" s="493"/>
      <c r="G94" s="493"/>
      <c r="H94" s="493"/>
      <c r="I94" s="493"/>
      <c r="J94" s="493"/>
      <c r="K94" s="493"/>
      <c r="L94" s="493"/>
      <c r="M94" s="493"/>
      <c r="N94" s="493"/>
      <c r="O94" s="493"/>
      <c r="P94" s="493"/>
      <c r="Q94" s="493"/>
      <c r="R94" s="493"/>
      <c r="S94" s="493"/>
      <c r="T94" s="493"/>
      <c r="U94" s="493"/>
      <c r="V94" s="493"/>
    </row>
    <row r="95" spans="1:22" ht="12.75">
      <c r="A95" s="493"/>
      <c r="B95" s="493"/>
      <c r="C95" s="493"/>
      <c r="D95" s="493"/>
      <c r="E95" s="493"/>
      <c r="F95" s="493"/>
      <c r="G95" s="493"/>
      <c r="H95" s="493"/>
      <c r="I95" s="493"/>
      <c r="J95" s="493"/>
      <c r="K95" s="493"/>
      <c r="L95" s="493"/>
      <c r="M95" s="493"/>
      <c r="N95" s="493"/>
      <c r="O95" s="493"/>
      <c r="P95" s="493"/>
      <c r="Q95" s="493"/>
      <c r="R95" s="493"/>
      <c r="S95" s="493"/>
      <c r="T95" s="493"/>
      <c r="U95" s="493"/>
      <c r="V95" s="493"/>
    </row>
    <row r="96" spans="1:22" ht="12.75">
      <c r="A96" s="493"/>
      <c r="B96" s="493"/>
      <c r="C96" s="493"/>
      <c r="D96" s="493"/>
      <c r="E96" s="493"/>
      <c r="F96" s="493"/>
      <c r="G96" s="493"/>
      <c r="H96" s="493"/>
      <c r="I96" s="493"/>
      <c r="J96" s="493"/>
      <c r="K96" s="493"/>
      <c r="L96" s="493"/>
      <c r="M96" s="493"/>
      <c r="N96" s="493"/>
      <c r="O96" s="493"/>
      <c r="P96" s="493"/>
      <c r="Q96" s="493"/>
      <c r="R96" s="493"/>
      <c r="S96" s="493"/>
      <c r="T96" s="493"/>
      <c r="U96" s="493"/>
      <c r="V96" s="493"/>
    </row>
    <row r="97" spans="1:22" ht="12.75">
      <c r="A97" s="493"/>
      <c r="B97" s="493"/>
      <c r="C97" s="493"/>
      <c r="D97" s="493"/>
      <c r="E97" s="493"/>
      <c r="F97" s="493"/>
      <c r="G97" s="493"/>
      <c r="H97" s="493"/>
      <c r="I97" s="493"/>
      <c r="J97" s="493"/>
      <c r="K97" s="493"/>
      <c r="L97" s="493"/>
      <c r="M97" s="493"/>
      <c r="N97" s="493"/>
      <c r="O97" s="493"/>
      <c r="P97" s="493"/>
      <c r="Q97" s="493"/>
      <c r="R97" s="493"/>
      <c r="S97" s="493"/>
      <c r="T97" s="493"/>
      <c r="U97" s="493"/>
      <c r="V97" s="493"/>
    </row>
    <row r="98" spans="1:22" ht="12.75">
      <c r="A98" s="493"/>
      <c r="B98" s="493"/>
      <c r="C98" s="493"/>
      <c r="D98" s="493"/>
      <c r="E98" s="493"/>
      <c r="F98" s="493"/>
      <c r="G98" s="493"/>
      <c r="H98" s="493"/>
      <c r="I98" s="493"/>
      <c r="J98" s="493"/>
      <c r="K98" s="493"/>
      <c r="L98" s="493"/>
      <c r="M98" s="493"/>
      <c r="N98" s="493"/>
      <c r="O98" s="493"/>
      <c r="P98" s="493"/>
      <c r="Q98" s="493"/>
      <c r="R98" s="493"/>
      <c r="S98" s="493"/>
      <c r="T98" s="493"/>
      <c r="U98" s="493"/>
      <c r="V98" s="493"/>
    </row>
    <row r="99" spans="1:22" ht="12.75">
      <c r="A99" s="493"/>
      <c r="B99" s="493"/>
      <c r="C99" s="493"/>
      <c r="D99" s="493"/>
      <c r="E99" s="493"/>
      <c r="F99" s="493"/>
      <c r="G99" s="493"/>
      <c r="H99" s="493"/>
      <c r="I99" s="493"/>
      <c r="J99" s="493"/>
      <c r="K99" s="493"/>
      <c r="L99" s="493"/>
      <c r="M99" s="493"/>
      <c r="N99" s="493"/>
      <c r="O99" s="493"/>
      <c r="P99" s="493"/>
      <c r="Q99" s="493"/>
      <c r="R99" s="493"/>
      <c r="S99" s="493"/>
      <c r="T99" s="493"/>
      <c r="U99" s="493"/>
      <c r="V99" s="493"/>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30"/>
  <sheetViews>
    <sheetView zoomScale="81" zoomScaleNormal="81" zoomScaleSheetLayoutView="100" zoomScalePageLayoutView="81" workbookViewId="0">
      <selection activeCell="Q26" sqref="Q26"/>
    </sheetView>
  </sheetViews>
  <sheetFormatPr defaultColWidth="9.28515625" defaultRowHeight="12.75"/>
  <cols>
    <col min="1" max="1" width="3.5703125" style="653" customWidth="1"/>
    <col min="2" max="2" width="7.28515625" style="653" customWidth="1"/>
    <col min="3" max="3" width="2.42578125" style="653" customWidth="1"/>
    <col min="4" max="4" width="29.42578125" style="653" customWidth="1"/>
    <col min="5" max="5" width="26.42578125" style="653" customWidth="1"/>
    <col min="6" max="6" width="24.28515625" style="653" bestFit="1" customWidth="1"/>
    <col min="7" max="7" width="22.7109375" style="653" customWidth="1"/>
    <col min="8" max="8" width="7.42578125" style="653" customWidth="1"/>
    <col min="9" max="16384" width="9.28515625" style="653"/>
  </cols>
  <sheetData>
    <row r="1" spans="1:11" ht="15">
      <c r="A1" s="547"/>
    </row>
    <row r="2" spans="1:11" ht="19.5" customHeight="1">
      <c r="A2" s="2192" t="str">
        <f>+'OKT TCOS'!F4</f>
        <v xml:space="preserve">AEP West SPP Member Transmission Companies </v>
      </c>
      <c r="B2" s="2192"/>
      <c r="C2" s="2192"/>
      <c r="D2" s="2192"/>
      <c r="E2" s="2192"/>
      <c r="F2" s="2192"/>
      <c r="G2" s="2192"/>
      <c r="H2" s="2192"/>
      <c r="I2" s="275"/>
      <c r="J2" s="275"/>
      <c r="K2" s="275"/>
    </row>
    <row r="3" spans="1:11" ht="15">
      <c r="A3" s="2186" t="str">
        <f>+'OKT WS A-1 - Plant'!A3</f>
        <v xml:space="preserve">Actual / Projected 2022 Rate Year Cost of Service Formula Rate </v>
      </c>
      <c r="B3" s="2186"/>
      <c r="C3" s="2186"/>
      <c r="D3" s="2186"/>
      <c r="E3" s="2186"/>
      <c r="F3" s="2186"/>
      <c r="G3" s="2186"/>
      <c r="H3" s="2186"/>
      <c r="I3" s="419"/>
      <c r="J3" s="419"/>
      <c r="K3" s="419"/>
    </row>
    <row r="4" spans="1:11" ht="15.75">
      <c r="A4" s="2187" t="s">
        <v>112</v>
      </c>
      <c r="B4" s="2186"/>
      <c r="C4" s="2186"/>
      <c r="D4" s="2186"/>
      <c r="E4" s="2186"/>
      <c r="F4" s="2186"/>
      <c r="G4" s="2186"/>
      <c r="H4" s="2186"/>
      <c r="I4" s="419"/>
      <c r="J4" s="419"/>
      <c r="K4" s="419"/>
    </row>
    <row r="5" spans="1:11" ht="15.75">
      <c r="A5" s="2243" t="str">
        <f>+'OKT TCOS'!F8</f>
        <v>AEP OKLAHOMA TRANSMISSION COMPANY, INC.</v>
      </c>
      <c r="B5" s="2243"/>
      <c r="C5" s="2243"/>
      <c r="D5" s="2243"/>
      <c r="E5" s="2243"/>
      <c r="F5" s="2243"/>
      <c r="G5" s="2243"/>
      <c r="H5" s="2243"/>
      <c r="I5" s="1072"/>
      <c r="J5" s="1072"/>
      <c r="K5" s="1072"/>
    </row>
    <row r="6" spans="1:11" ht="15">
      <c r="D6" s="493"/>
      <c r="G6" s="1073"/>
      <c r="H6" s="275"/>
      <c r="I6" s="275"/>
    </row>
    <row r="7" spans="1:11" ht="54" customHeight="1">
      <c r="A7" s="1074"/>
      <c r="B7" s="2261" t="s">
        <v>641</v>
      </c>
      <c r="C7" s="2261"/>
      <c r="D7" s="2261"/>
      <c r="E7" s="2261"/>
      <c r="F7" s="2261"/>
      <c r="G7" s="2261"/>
      <c r="H7" s="1074"/>
      <c r="I7" s="275"/>
    </row>
    <row r="8" spans="1:11" ht="18">
      <c r="A8" s="923"/>
      <c r="B8" s="923"/>
      <c r="C8" s="923"/>
      <c r="D8" s="923"/>
      <c r="E8" s="923"/>
      <c r="F8" s="923"/>
      <c r="G8" s="923"/>
      <c r="H8" s="923"/>
      <c r="I8" s="275"/>
    </row>
    <row r="9" spans="1:11" ht="18">
      <c r="A9" s="923"/>
      <c r="B9" s="923"/>
      <c r="C9" s="923"/>
      <c r="D9" s="923"/>
      <c r="E9" s="923"/>
      <c r="F9" s="923"/>
      <c r="G9" s="923"/>
      <c r="H9" s="923"/>
      <c r="I9" s="275"/>
    </row>
    <row r="10" spans="1:11" ht="18">
      <c r="A10" s="923"/>
      <c r="B10" s="712" t="s">
        <v>305</v>
      </c>
      <c r="D10" s="2260" t="s">
        <v>298</v>
      </c>
      <c r="E10" s="2260"/>
      <c r="G10" s="553" t="s">
        <v>299</v>
      </c>
      <c r="H10" s="923"/>
      <c r="I10" s="275"/>
    </row>
    <row r="11" spans="1:11" ht="18">
      <c r="A11" s="923"/>
      <c r="B11" s="712" t="s">
        <v>243</v>
      </c>
      <c r="D11" s="2259" t="s">
        <v>303</v>
      </c>
      <c r="E11" s="2259"/>
      <c r="G11" s="712">
        <f>+'OKT TCOS'!N2</f>
        <v>2022</v>
      </c>
      <c r="H11" s="923"/>
      <c r="I11" s="275"/>
    </row>
    <row r="12" spans="1:11" ht="15">
      <c r="B12" s="1075">
        <v>1</v>
      </c>
      <c r="C12" s="1076"/>
      <c r="H12" s="275"/>
      <c r="I12" s="275"/>
    </row>
    <row r="13" spans="1:11" ht="15">
      <c r="B13" s="1075">
        <f t="shared" ref="B13:B20" si="0">B12+1</f>
        <v>2</v>
      </c>
      <c r="D13" s="544"/>
      <c r="E13" s="1077"/>
      <c r="G13" s="986"/>
      <c r="H13" s="275"/>
      <c r="I13" s="275"/>
    </row>
    <row r="14" spans="1:11" ht="15">
      <c r="B14" s="1075">
        <f t="shared" si="0"/>
        <v>3</v>
      </c>
      <c r="D14" s="544"/>
      <c r="E14" s="1077"/>
      <c r="G14" s="986"/>
      <c r="H14" s="275"/>
      <c r="I14" s="275"/>
    </row>
    <row r="15" spans="1:11" ht="15">
      <c r="B15" s="1075">
        <f t="shared" si="0"/>
        <v>4</v>
      </c>
      <c r="D15" s="544"/>
      <c r="E15" s="1077"/>
      <c r="G15" s="986"/>
      <c r="H15" s="275"/>
      <c r="I15" s="275"/>
    </row>
    <row r="16" spans="1:11" ht="15">
      <c r="B16" s="1075">
        <f t="shared" si="0"/>
        <v>5</v>
      </c>
      <c r="D16" s="544"/>
      <c r="E16" s="1077"/>
      <c r="G16" s="986"/>
      <c r="H16" s="275"/>
      <c r="I16" s="275"/>
    </row>
    <row r="17" spans="2:9" ht="15">
      <c r="B17" s="1075">
        <f t="shared" si="0"/>
        <v>6</v>
      </c>
      <c r="D17" s="544"/>
      <c r="E17" s="1077"/>
      <c r="G17" s="986"/>
      <c r="H17" s="275"/>
      <c r="I17" s="275"/>
    </row>
    <row r="18" spans="2:9" ht="15">
      <c r="B18" s="1075">
        <f t="shared" si="0"/>
        <v>7</v>
      </c>
      <c r="D18" s="544"/>
      <c r="E18" s="1077"/>
      <c r="G18" s="986"/>
      <c r="H18" s="275"/>
      <c r="I18" s="275"/>
    </row>
    <row r="19" spans="2:9" ht="15">
      <c r="B19" s="1075">
        <f t="shared" si="0"/>
        <v>8</v>
      </c>
      <c r="D19" s="544"/>
      <c r="E19" s="1077"/>
      <c r="G19" s="986"/>
      <c r="H19" s="275"/>
      <c r="I19" s="275"/>
    </row>
    <row r="20" spans="2:9" ht="15">
      <c r="B20" s="1075">
        <f t="shared" si="0"/>
        <v>9</v>
      </c>
      <c r="D20" s="544"/>
      <c r="E20" s="1077"/>
      <c r="G20" s="986"/>
      <c r="H20" s="275"/>
      <c r="I20" s="275"/>
    </row>
    <row r="21" spans="2:9" ht="15">
      <c r="B21" s="1075">
        <f>+B20+1</f>
        <v>10</v>
      </c>
      <c r="D21" s="1078" t="s">
        <v>255</v>
      </c>
      <c r="F21" s="653" t="str">
        <f>"( sum of lines "&amp;B13&amp;"  through "&amp;B20&amp;" )"</f>
        <v>( sum of lines 2  through 9 )</v>
      </c>
      <c r="G21" s="1079">
        <f>SUM(G13:G20)</f>
        <v>0</v>
      </c>
      <c r="H21" s="275"/>
      <c r="I21" s="275"/>
    </row>
    <row r="22" spans="2:9" ht="15">
      <c r="B22" s="1075"/>
      <c r="G22" s="1080"/>
      <c r="H22" s="275"/>
      <c r="I22" s="275"/>
    </row>
    <row r="23" spans="2:9" s="478" customFormat="1" ht="15" customHeight="1"/>
    <row r="24" spans="2:9" s="478" customFormat="1"/>
    <row r="25" spans="2:9" s="478" customFormat="1"/>
    <row r="26" spans="2:9" s="478" customFormat="1" ht="23.25" customHeight="1"/>
    <row r="27" spans="2:9" s="478" customFormat="1"/>
    <row r="28" spans="2:9" s="478" customFormat="1"/>
    <row r="29" spans="2:9" s="478" customFormat="1"/>
    <row r="30" spans="2:9" s="478"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57"/>
  <sheetViews>
    <sheetView zoomScale="80" zoomScaleNormal="80" zoomScaleSheetLayoutView="75" workbookViewId="0">
      <selection activeCell="H15" sqref="H15:H20"/>
    </sheetView>
  </sheetViews>
  <sheetFormatPr defaultColWidth="9.28515625" defaultRowHeight="15"/>
  <cols>
    <col min="1" max="1" width="10.42578125" style="1084" customWidth="1"/>
    <col min="2" max="2" width="12.7109375" style="1081" customWidth="1"/>
    <col min="3" max="3" width="59.28515625" style="1082" customWidth="1"/>
    <col min="4" max="4" width="17.7109375" style="1082" customWidth="1"/>
    <col min="5" max="5" width="24.42578125" style="1082" customWidth="1"/>
    <col min="6" max="6" width="17.28515625" style="1082" customWidth="1"/>
    <col min="7" max="7" width="42" style="1082" customWidth="1"/>
    <col min="8" max="8" width="13.7109375" style="1082" customWidth="1"/>
    <col min="9" max="10" width="12.7109375" style="1082" customWidth="1"/>
    <col min="11" max="11" width="13.28515625" style="1082" customWidth="1"/>
    <col min="12" max="19" width="9.28515625" style="1082"/>
    <col min="20" max="20" width="9.28515625" style="131" bestFit="1" customWidth="1"/>
    <col min="21" max="21" width="8.7109375" style="131" customWidth="1"/>
    <col min="22" max="22" width="9.28515625" style="131" bestFit="1" customWidth="1"/>
    <col min="23" max="23" width="8.7109375" style="131" customWidth="1"/>
    <col min="24" max="24" width="10.7109375" style="131" bestFit="1" customWidth="1"/>
    <col min="25" max="25" width="8.7109375" style="131" customWidth="1"/>
    <col min="26" max="26" width="10.7109375" style="131" bestFit="1" customWidth="1"/>
    <col min="27" max="27" width="8.7109375" style="131" customWidth="1"/>
    <col min="28" max="28" width="10.7109375" style="131" bestFit="1" customWidth="1"/>
    <col min="29" max="29" width="8.7109375" style="131" customWidth="1"/>
    <col min="30" max="30" width="9.28515625" style="131" bestFit="1" customWidth="1"/>
    <col min="31" max="31" width="8.7109375" style="131" customWidth="1"/>
    <col min="32" max="32" width="11.5703125" style="131" bestFit="1" customWidth="1"/>
    <col min="33" max="33" width="8.7109375" style="131" customWidth="1"/>
    <col min="34" max="34" width="11.5703125" style="131" bestFit="1" customWidth="1"/>
    <col min="35" max="35" width="8.7109375" style="131" customWidth="1"/>
    <col min="36" max="36" width="11" style="131" bestFit="1" customWidth="1"/>
    <col min="37" max="37" width="8.7109375" style="131" customWidth="1"/>
    <col min="38" max="38" width="9.28515625" style="131" bestFit="1" customWidth="1"/>
    <col min="39" max="39" width="8.7109375" style="131" customWidth="1"/>
    <col min="40" max="40" width="11.5703125" style="131" bestFit="1" customWidth="1"/>
    <col min="41" max="43" width="8.7109375" style="131" customWidth="1"/>
    <col min="44" max="16384" width="9.28515625" style="1082"/>
  </cols>
  <sheetData>
    <row r="1" spans="1:11">
      <c r="A1" s="498"/>
    </row>
    <row r="2" spans="1:11" ht="23.25" customHeight="1">
      <c r="A2" s="2263" t="str">
        <f>+'OKT WS H Rev Credits'!A3:N3</f>
        <v xml:space="preserve">AEP West SPP Member Transmission Companies </v>
      </c>
      <c r="B2" s="2263"/>
      <c r="C2" s="2263"/>
      <c r="D2" s="2263"/>
      <c r="E2" s="2263"/>
      <c r="F2" s="2263"/>
      <c r="G2" s="2263"/>
      <c r="H2" s="650"/>
    </row>
    <row r="3" spans="1:11" ht="18.75" customHeight="1">
      <c r="A3" s="2263" t="str">
        <f>+'OKT WS A-1 - Plant'!A3</f>
        <v xml:space="preserve">Actual / Projected 2022 Rate Year Cost of Service Formula Rate </v>
      </c>
      <c r="B3" s="2263"/>
      <c r="C3" s="2263"/>
      <c r="D3" s="2263"/>
      <c r="E3" s="2263"/>
      <c r="F3" s="2263"/>
      <c r="G3" s="2263"/>
      <c r="H3" s="652"/>
      <c r="I3" s="652"/>
      <c r="J3" s="652"/>
      <c r="K3" s="652"/>
    </row>
    <row r="4" spans="1:11" ht="19.5" customHeight="1">
      <c r="A4" s="2264" t="s">
        <v>113</v>
      </c>
      <c r="B4" s="2263"/>
      <c r="C4" s="2263"/>
      <c r="D4" s="2263"/>
      <c r="E4" s="2263"/>
      <c r="F4" s="2263"/>
      <c r="G4" s="2263"/>
    </row>
    <row r="5" spans="1:11" ht="18" customHeight="1">
      <c r="A5" s="2243" t="str">
        <f>+'OKT TCOS'!F8</f>
        <v>AEP OKLAHOMA TRANSMISSION COMPANY, INC.</v>
      </c>
      <c r="B5" s="2243"/>
      <c r="C5" s="2243"/>
      <c r="D5" s="2243"/>
      <c r="E5" s="2243"/>
      <c r="F5" s="2243"/>
      <c r="G5" s="2243"/>
    </row>
    <row r="6" spans="1:11" ht="12.75" customHeight="1">
      <c r="A6" s="2192"/>
      <c r="B6" s="2192"/>
      <c r="C6" s="2192"/>
      <c r="D6" s="2192"/>
      <c r="E6" s="2192"/>
      <c r="F6" s="2192"/>
      <c r="G6" s="1083"/>
    </row>
    <row r="7" spans="1:11" ht="18">
      <c r="A7" s="2199"/>
      <c r="B7" s="2199"/>
      <c r="C7" s="2199"/>
      <c r="D7" s="2199"/>
      <c r="E7" s="2199"/>
      <c r="F7" s="2199"/>
      <c r="G7" s="2199"/>
    </row>
    <row r="8" spans="1:11" ht="18">
      <c r="A8" s="923"/>
      <c r="B8" s="923"/>
      <c r="C8" s="923"/>
      <c r="D8" s="2152"/>
      <c r="E8" s="923"/>
      <c r="F8" s="923"/>
      <c r="G8" s="923"/>
    </row>
    <row r="9" spans="1:11" ht="15.75">
      <c r="B9" s="534" t="s">
        <v>298</v>
      </c>
      <c r="C9" s="534" t="s">
        <v>299</v>
      </c>
      <c r="D9" s="534" t="s">
        <v>300</v>
      </c>
      <c r="E9" s="534" t="s">
        <v>301</v>
      </c>
      <c r="F9" s="534" t="s">
        <v>226</v>
      </c>
      <c r="G9" s="534" t="s">
        <v>227</v>
      </c>
    </row>
    <row r="10" spans="1:11" ht="15.75">
      <c r="B10" s="1085"/>
      <c r="C10" s="1083"/>
      <c r="D10" s="1086"/>
      <c r="E10" s="1087"/>
      <c r="F10" s="1088" t="s">
        <v>229</v>
      </c>
      <c r="G10" s="534"/>
    </row>
    <row r="11" spans="1:11" ht="15.75">
      <c r="A11" s="513" t="s">
        <v>305</v>
      </c>
      <c r="B11" s="513" t="s">
        <v>147</v>
      </c>
      <c r="C11" s="1089"/>
      <c r="D11" s="513">
        <f>+'OKT TCOS'!N2</f>
        <v>2022</v>
      </c>
      <c r="E11" s="1088" t="s">
        <v>229</v>
      </c>
      <c r="F11" s="513" t="s">
        <v>252</v>
      </c>
      <c r="G11" s="534" t="s">
        <v>420</v>
      </c>
    </row>
    <row r="12" spans="1:11" ht="15.75">
      <c r="A12" s="513" t="s">
        <v>243</v>
      </c>
      <c r="B12" s="513" t="s">
        <v>148</v>
      </c>
      <c r="C12" s="513" t="s">
        <v>303</v>
      </c>
      <c r="D12" s="513" t="s">
        <v>212</v>
      </c>
      <c r="E12" s="513" t="s">
        <v>231</v>
      </c>
      <c r="F12" s="513" t="s">
        <v>213</v>
      </c>
      <c r="G12" s="1090" t="s">
        <v>421</v>
      </c>
    </row>
    <row r="13" spans="1:11" ht="15.75">
      <c r="B13" s="513"/>
      <c r="C13" s="513"/>
      <c r="D13" s="513"/>
      <c r="E13" s="513"/>
      <c r="F13" s="513"/>
      <c r="G13" s="513"/>
    </row>
    <row r="14" spans="1:11" ht="15.75">
      <c r="B14" s="1084"/>
      <c r="C14" s="1091" t="s">
        <v>348</v>
      </c>
      <c r="D14" s="1083"/>
      <c r="E14" s="1083"/>
      <c r="F14" s="1083"/>
      <c r="G14" s="1083"/>
    </row>
    <row r="15" spans="1:11" ht="15.75">
      <c r="A15" s="1092">
        <v>1</v>
      </c>
      <c r="B15" s="1093" t="s">
        <v>957</v>
      </c>
      <c r="C15" s="1094" t="s">
        <v>953</v>
      </c>
      <c r="D15" s="1095">
        <v>10.83</v>
      </c>
      <c r="E15" s="1095"/>
      <c r="F15" s="1095">
        <f>+D15</f>
        <v>10.83</v>
      </c>
      <c r="G15" s="1096"/>
      <c r="I15" s="1097"/>
      <c r="J15" s="1097"/>
    </row>
    <row r="16" spans="1:11" ht="15.75">
      <c r="A16" s="1092">
        <f t="shared" ref="A16:A29" si="0">+A15+1</f>
        <v>2</v>
      </c>
      <c r="B16" s="1093" t="s">
        <v>958</v>
      </c>
      <c r="C16" s="1094" t="s">
        <v>954</v>
      </c>
      <c r="D16" s="1095">
        <v>1.92</v>
      </c>
      <c r="E16" s="1095"/>
      <c r="F16" s="1095">
        <f>+D16</f>
        <v>1.92</v>
      </c>
      <c r="G16" s="1096"/>
      <c r="I16" s="1097"/>
      <c r="J16" s="1097"/>
    </row>
    <row r="17" spans="1:7">
      <c r="A17" s="1092">
        <f t="shared" si="0"/>
        <v>3</v>
      </c>
      <c r="B17" s="1093" t="s">
        <v>959</v>
      </c>
      <c r="C17" s="1094" t="s">
        <v>955</v>
      </c>
      <c r="D17" s="1095">
        <v>519.39</v>
      </c>
      <c r="E17" s="1095"/>
      <c r="F17" s="1095">
        <f>+D17</f>
        <v>519.39</v>
      </c>
      <c r="G17" s="1096"/>
    </row>
    <row r="18" spans="1:7">
      <c r="A18" s="1092">
        <f t="shared" si="0"/>
        <v>4</v>
      </c>
      <c r="B18" s="1093" t="s">
        <v>960</v>
      </c>
      <c r="C18" s="1094" t="s">
        <v>956</v>
      </c>
      <c r="D18" s="1095">
        <v>24170.29</v>
      </c>
      <c r="E18" s="1095"/>
      <c r="F18" s="1095">
        <f>+D18</f>
        <v>24170.29</v>
      </c>
      <c r="G18" s="1096"/>
    </row>
    <row r="19" spans="1:7">
      <c r="A19" s="1092">
        <f t="shared" si="0"/>
        <v>5</v>
      </c>
      <c r="B19" s="1098"/>
      <c r="C19" s="1099"/>
      <c r="D19" s="1095"/>
      <c r="E19" s="1095"/>
      <c r="F19" s="1095"/>
      <c r="G19" s="1096"/>
    </row>
    <row r="20" spans="1:7">
      <c r="A20" s="1092">
        <f t="shared" si="0"/>
        <v>6</v>
      </c>
      <c r="B20" s="1098"/>
      <c r="C20" s="1099"/>
      <c r="D20" s="1095"/>
      <c r="E20" s="1095"/>
      <c r="F20" s="1095"/>
      <c r="G20" s="1096"/>
    </row>
    <row r="21" spans="1:7">
      <c r="A21" s="1092">
        <f t="shared" si="0"/>
        <v>7</v>
      </c>
      <c r="B21" s="1098"/>
      <c r="C21" s="1099"/>
      <c r="D21" s="1095"/>
      <c r="E21" s="1095"/>
      <c r="F21" s="1095"/>
      <c r="G21" s="1096"/>
    </row>
    <row r="22" spans="1:7">
      <c r="A22" s="1092">
        <f t="shared" si="0"/>
        <v>8</v>
      </c>
      <c r="B22" s="1098"/>
      <c r="C22" s="1099"/>
      <c r="D22" s="1095"/>
      <c r="E22" s="1095"/>
      <c r="F22" s="1095"/>
      <c r="G22" s="1096"/>
    </row>
    <row r="23" spans="1:7">
      <c r="A23" s="1092">
        <f t="shared" si="0"/>
        <v>9</v>
      </c>
      <c r="B23" s="1098"/>
      <c r="C23" s="1099"/>
      <c r="D23" s="1095"/>
      <c r="E23" s="1095"/>
      <c r="F23" s="1095"/>
      <c r="G23" s="1096"/>
    </row>
    <row r="24" spans="1:7">
      <c r="A24" s="1092">
        <f t="shared" si="0"/>
        <v>10</v>
      </c>
      <c r="B24" s="1098"/>
      <c r="C24" s="1099"/>
      <c r="D24" s="1100"/>
      <c r="E24" s="1095"/>
      <c r="F24" s="1095"/>
      <c r="G24" s="1096"/>
    </row>
    <row r="25" spans="1:7">
      <c r="A25" s="1092">
        <f t="shared" si="0"/>
        <v>11</v>
      </c>
      <c r="B25" s="1101"/>
      <c r="C25" s="1102"/>
      <c r="D25" s="1103"/>
      <c r="E25" s="1103"/>
      <c r="F25" s="1104"/>
      <c r="G25" s="1105"/>
    </row>
    <row r="26" spans="1:7">
      <c r="A26" s="1092">
        <f t="shared" si="0"/>
        <v>12</v>
      </c>
      <c r="B26" s="1101"/>
      <c r="C26" s="1102"/>
      <c r="D26" s="1103"/>
      <c r="E26" s="1103"/>
      <c r="F26" s="1104"/>
      <c r="G26" s="1105"/>
    </row>
    <row r="27" spans="1:7">
      <c r="A27" s="1092">
        <f t="shared" si="0"/>
        <v>13</v>
      </c>
      <c r="B27" s="1101"/>
      <c r="C27" s="1102"/>
      <c r="D27" s="1103"/>
      <c r="E27" s="1103"/>
      <c r="F27" s="1104"/>
      <c r="G27" s="1105"/>
    </row>
    <row r="28" spans="1:7">
      <c r="A28" s="1092">
        <f t="shared" si="0"/>
        <v>14</v>
      </c>
      <c r="B28" s="1101"/>
      <c r="C28" s="1102"/>
      <c r="D28" s="1103"/>
      <c r="E28" s="1103"/>
      <c r="F28" s="1104"/>
      <c r="G28" s="1105"/>
    </row>
    <row r="29" spans="1:7">
      <c r="A29" s="1092">
        <f t="shared" si="0"/>
        <v>15</v>
      </c>
      <c r="B29" s="1101"/>
      <c r="C29" s="1102"/>
      <c r="D29" s="1103"/>
      <c r="E29" s="1103"/>
      <c r="F29" s="1104"/>
      <c r="G29" s="1105"/>
    </row>
    <row r="30" spans="1:7">
      <c r="B30" s="1106"/>
      <c r="C30" s="1107"/>
      <c r="D30" s="1108"/>
      <c r="E30" s="1109"/>
      <c r="F30" s="1110"/>
      <c r="G30" s="1083"/>
    </row>
    <row r="31" spans="1:7" ht="15.75">
      <c r="A31" s="1084">
        <f>+A29+1</f>
        <v>16</v>
      </c>
      <c r="B31" s="1111"/>
      <c r="C31" s="1112" t="s">
        <v>600</v>
      </c>
      <c r="D31" s="1113">
        <f>SUM(D15:D29)</f>
        <v>24702.43</v>
      </c>
      <c r="E31" s="1113">
        <f>SUM(E15:E29)</f>
        <v>0</v>
      </c>
      <c r="F31" s="1113">
        <f>SUM(F15:F29)</f>
        <v>24702.43</v>
      </c>
      <c r="G31"/>
    </row>
    <row r="32" spans="1:7" ht="15.75">
      <c r="B32" s="1111"/>
      <c r="C32" s="1114"/>
      <c r="D32" s="1115"/>
      <c r="E32" s="1083"/>
      <c r="F32" s="1083"/>
      <c r="G32" s="1083"/>
    </row>
    <row r="33" spans="1:19" ht="15.75">
      <c r="B33" s="1116"/>
      <c r="C33" s="1091" t="s">
        <v>347</v>
      </c>
      <c r="D33" s="1083"/>
      <c r="E33" s="1083"/>
      <c r="F33" s="1083"/>
      <c r="G33" s="1083"/>
      <c r="H33" s="137"/>
    </row>
    <row r="34" spans="1:19">
      <c r="A34" s="1084">
        <f>A31+1</f>
        <v>17</v>
      </c>
      <c r="B34" s="1093">
        <v>9301000</v>
      </c>
      <c r="C34" s="1094" t="s">
        <v>962</v>
      </c>
      <c r="D34" s="1103">
        <v>478.95000000000005</v>
      </c>
      <c r="E34" s="1103">
        <f>+D34</f>
        <v>478.95000000000005</v>
      </c>
      <c r="F34" s="1103">
        <v>0</v>
      </c>
      <c r="G34" s="1104"/>
      <c r="H34" s="137"/>
    </row>
    <row r="35" spans="1:19">
      <c r="A35" s="1084">
        <f>+A34+1</f>
        <v>18</v>
      </c>
      <c r="B35" s="1101"/>
      <c r="C35" s="1117"/>
      <c r="D35" s="1103"/>
      <c r="E35" s="1103"/>
      <c r="F35" s="1103"/>
      <c r="G35" s="1104"/>
      <c r="H35" s="137"/>
    </row>
    <row r="36" spans="1:19">
      <c r="A36" s="1084">
        <f>+A35+1</f>
        <v>19</v>
      </c>
      <c r="B36" s="1101"/>
      <c r="C36" s="1117"/>
      <c r="D36" s="1103"/>
      <c r="E36" s="1103"/>
      <c r="F36" s="1103"/>
      <c r="G36" s="1104"/>
      <c r="H36" s="137"/>
      <c r="M36" s="1118"/>
      <c r="N36" s="1118"/>
      <c r="O36" s="1119"/>
      <c r="P36" s="1119"/>
      <c r="Q36" s="1119"/>
      <c r="R36" s="1119"/>
      <c r="S36" s="1119"/>
    </row>
    <row r="37" spans="1:19">
      <c r="A37" s="1084">
        <f>+A36+1</f>
        <v>20</v>
      </c>
      <c r="B37" s="1101"/>
      <c r="C37" s="1117"/>
      <c r="D37" s="1103"/>
      <c r="E37" s="1103"/>
      <c r="F37" s="1103"/>
      <c r="G37" s="1104"/>
      <c r="H37" s="137"/>
      <c r="M37" s="1118"/>
      <c r="N37" s="1118"/>
      <c r="O37" s="1119"/>
      <c r="P37" s="1119"/>
      <c r="Q37" s="1119"/>
      <c r="R37" s="1119"/>
      <c r="S37" s="1119"/>
    </row>
    <row r="38" spans="1:19">
      <c r="A38" s="1084">
        <f>+A37+1</f>
        <v>21</v>
      </c>
      <c r="B38" s="1101"/>
      <c r="C38" s="1117"/>
      <c r="D38" s="1103"/>
      <c r="E38" s="1103"/>
      <c r="F38" s="1103"/>
      <c r="G38" s="1104"/>
      <c r="H38" s="137"/>
      <c r="M38" s="1118"/>
      <c r="N38" s="1118"/>
      <c r="O38" s="1119"/>
      <c r="P38" s="1119"/>
      <c r="Q38" s="1119"/>
      <c r="R38" s="1119"/>
      <c r="S38" s="1119"/>
    </row>
    <row r="39" spans="1:19">
      <c r="B39" s="461"/>
      <c r="C39" s="567"/>
      <c r="D39" s="1120"/>
      <c r="E39" s="1120"/>
      <c r="F39" s="1120"/>
      <c r="G39" s="1120"/>
      <c r="H39" s="137"/>
    </row>
    <row r="40" spans="1:19">
      <c r="B40" s="1106"/>
      <c r="C40" s="1083"/>
      <c r="D40" s="1121"/>
      <c r="E40" s="1122"/>
      <c r="F40" s="1121"/>
      <c r="G40" s="1083"/>
      <c r="H40" s="137"/>
    </row>
    <row r="41" spans="1:19" ht="15.75">
      <c r="A41" s="1084">
        <f>+A38+1</f>
        <v>22</v>
      </c>
      <c r="B41" s="1111"/>
      <c r="C41" s="1123" t="s">
        <v>601</v>
      </c>
      <c r="D41" s="1124">
        <f>SUM(D34:D40)</f>
        <v>478.95000000000005</v>
      </c>
      <c r="E41" s="1124">
        <f>SUM(E34:E40)</f>
        <v>478.95000000000005</v>
      </c>
      <c r="F41" s="1124">
        <f>SUM(F34:F40)</f>
        <v>0</v>
      </c>
      <c r="G41"/>
      <c r="H41" s="137"/>
    </row>
    <row r="42" spans="1:19" ht="12.75" customHeight="1">
      <c r="B42" s="280"/>
      <c r="C42" s="404"/>
      <c r="D42" s="1125"/>
      <c r="E42" s="1125"/>
      <c r="F42" s="1125"/>
      <c r="G42" s="404"/>
    </row>
    <row r="43" spans="1:19" ht="15.75">
      <c r="B43" s="1126"/>
      <c r="C43" s="1091" t="s">
        <v>346</v>
      </c>
      <c r="D43" s="1127"/>
      <c r="E43" s="1127"/>
      <c r="F43" s="1127"/>
      <c r="G43" s="534"/>
    </row>
    <row r="44" spans="1:19">
      <c r="A44" s="1084">
        <f>+A41+1</f>
        <v>23</v>
      </c>
      <c r="B44" s="1128" t="s">
        <v>963</v>
      </c>
      <c r="C44" s="1094" t="s">
        <v>968</v>
      </c>
      <c r="D44" s="1103">
        <v>94970.072</v>
      </c>
      <c r="E44" s="1103"/>
      <c r="F44" s="1103">
        <f>+D44</f>
        <v>94970.072</v>
      </c>
      <c r="G44" s="1104"/>
      <c r="H44" s="137"/>
      <c r="I44" s="131"/>
    </row>
    <row r="45" spans="1:19">
      <c r="A45" s="1084">
        <f>+A44+1</f>
        <v>24</v>
      </c>
      <c r="B45" s="1129"/>
      <c r="C45" s="1117"/>
      <c r="D45" s="1103"/>
      <c r="E45" s="1103"/>
      <c r="F45" s="1103"/>
      <c r="G45" s="1104"/>
      <c r="H45" s="137"/>
      <c r="I45" s="131"/>
    </row>
    <row r="46" spans="1:19">
      <c r="A46" s="1084">
        <f>+A45+1</f>
        <v>25</v>
      </c>
      <c r="B46" s="1129"/>
      <c r="C46" s="1117"/>
      <c r="D46" s="1103"/>
      <c r="E46" s="1103"/>
      <c r="F46" s="1103"/>
      <c r="G46" s="1104"/>
      <c r="H46" s="137"/>
      <c r="I46" s="131"/>
    </row>
    <row r="47" spans="1:19">
      <c r="A47" s="1084">
        <f>+A46+1</f>
        <v>26</v>
      </c>
      <c r="B47" s="1129"/>
      <c r="C47" s="1117"/>
      <c r="D47" s="1103"/>
      <c r="E47" s="1103"/>
      <c r="F47" s="1103"/>
      <c r="G47" s="1104"/>
      <c r="H47" s="137"/>
      <c r="I47" s="131"/>
      <c r="J47" s="1119"/>
      <c r="K47" s="1119"/>
    </row>
    <row r="48" spans="1:19">
      <c r="A48" s="1084">
        <f>+A47+1</f>
        <v>27</v>
      </c>
      <c r="B48" s="1129"/>
      <c r="C48" s="1117"/>
      <c r="D48" s="1103"/>
      <c r="E48" s="1103"/>
      <c r="F48" s="1103"/>
      <c r="G48" s="1104"/>
      <c r="H48" s="137"/>
      <c r="I48" s="131"/>
    </row>
    <row r="49" spans="1:10">
      <c r="B49" s="404"/>
      <c r="C49" s="404"/>
      <c r="D49" s="404"/>
      <c r="E49" s="404"/>
      <c r="F49" s="404"/>
      <c r="G49" s="404"/>
    </row>
    <row r="50" spans="1:10" ht="15.75">
      <c r="A50" s="1084">
        <f>+A48+1</f>
        <v>28</v>
      </c>
      <c r="B50" s="404"/>
      <c r="C50" s="1123" t="s">
        <v>602</v>
      </c>
      <c r="D50" s="1113">
        <f>SUM(D44:D49)</f>
        <v>94970.072</v>
      </c>
      <c r="E50" s="1130">
        <f>SUM(E44:E49)</f>
        <v>0</v>
      </c>
      <c r="F50" s="1130">
        <f>SUM(F44:F49)</f>
        <v>94970.072</v>
      </c>
      <c r="G50"/>
      <c r="J50" s="1131"/>
    </row>
    <row r="51" spans="1:10">
      <c r="B51" s="493"/>
      <c r="C51" s="493"/>
      <c r="D51" s="1132"/>
      <c r="E51" s="493"/>
      <c r="F51" s="493"/>
      <c r="G51" s="493"/>
    </row>
    <row r="53" spans="1:10" ht="47.25" customHeight="1">
      <c r="B53" s="2262"/>
      <c r="C53" s="2262"/>
      <c r="D53" s="2262"/>
      <c r="E53" s="2262"/>
      <c r="F53" s="2262"/>
      <c r="G53" s="2262"/>
    </row>
    <row r="54" spans="1:10">
      <c r="D54" s="1133"/>
    </row>
    <row r="57" spans="1:10">
      <c r="D57" s="1134"/>
    </row>
  </sheetData>
  <mergeCells count="7">
    <mergeCell ref="B53:G53"/>
    <mergeCell ref="A2:G2"/>
    <mergeCell ref="A7:G7"/>
    <mergeCell ref="A6:F6"/>
    <mergeCell ref="A3:G3"/>
    <mergeCell ref="A4:G4"/>
    <mergeCell ref="A5:G5"/>
  </mergeCells>
  <phoneticPr fontId="0" type="noConversion"/>
  <conditionalFormatting sqref="K15:K16 H50:I50 H31:I31 H15:H29">
    <cfRule type="cellIs" dxfId="6" priority="4"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L53"/>
  <sheetViews>
    <sheetView topLeftCell="A2" zoomScale="81" zoomScaleNormal="81" zoomScaleSheetLayoutView="75" workbookViewId="0">
      <selection activeCell="B32" sqref="B32"/>
    </sheetView>
  </sheetViews>
  <sheetFormatPr defaultColWidth="8.7109375" defaultRowHeight="12.75"/>
  <cols>
    <col min="1" max="1" width="9.28515625" style="493" bestFit="1" customWidth="1"/>
    <col min="2" max="2" width="32.5703125" style="493" customWidth="1"/>
    <col min="3" max="4" width="8.7109375" style="493"/>
    <col min="5" max="5" width="15" style="493" customWidth="1"/>
    <col min="6" max="6" width="11" style="493" bestFit="1" customWidth="1"/>
    <col min="7" max="7" width="10.7109375" style="493" customWidth="1"/>
    <col min="8" max="8" width="5" style="493" customWidth="1"/>
    <col min="9" max="9" width="21" style="493" bestFit="1" customWidth="1"/>
    <col min="10" max="10" width="2.28515625" style="493" customWidth="1"/>
    <col min="11" max="11" width="15.5703125" style="493" bestFit="1" customWidth="1"/>
    <col min="12" max="12" width="4.7109375" style="493" customWidth="1"/>
    <col min="13" max="16384" width="8.7109375" style="493"/>
  </cols>
  <sheetData>
    <row r="1" spans="1:12" ht="15">
      <c r="A1" s="547"/>
    </row>
    <row r="2" spans="1:12" ht="18">
      <c r="A2" s="2192" t="str">
        <f>+'OKT TCOS'!F4</f>
        <v xml:space="preserve">AEP West SPP Member Transmission Companies </v>
      </c>
      <c r="B2" s="2192"/>
      <c r="C2" s="2192"/>
      <c r="D2" s="2192"/>
      <c r="E2" s="2192"/>
      <c r="F2" s="2192"/>
      <c r="G2" s="2192"/>
      <c r="H2" s="2192"/>
      <c r="I2" s="1135"/>
      <c r="J2" s="1135"/>
    </row>
    <row r="3" spans="1:12" ht="18">
      <c r="A3" s="2186" t="str">
        <f>+'OKT WS A-1 - Plant'!A3</f>
        <v xml:space="preserve">Actual / Projected 2022 Rate Year Cost of Service Formula Rate </v>
      </c>
      <c r="B3" s="2186"/>
      <c r="C3" s="2186"/>
      <c r="D3" s="2186"/>
      <c r="E3" s="2186"/>
      <c r="F3" s="2186"/>
      <c r="G3" s="2186"/>
      <c r="H3" s="2186"/>
      <c r="I3" s="1135"/>
      <c r="J3" s="1135"/>
    </row>
    <row r="4" spans="1:12" ht="18">
      <c r="A4" s="2187" t="s">
        <v>114</v>
      </c>
      <c r="B4" s="2186"/>
      <c r="C4" s="2186"/>
      <c r="D4" s="2186"/>
      <c r="E4" s="2186"/>
      <c r="F4" s="2186"/>
      <c r="G4" s="2186"/>
      <c r="H4" s="2186"/>
      <c r="I4" s="1135"/>
      <c r="J4" s="1135"/>
    </row>
    <row r="5" spans="1:12" ht="18">
      <c r="A5" s="2243" t="str">
        <f>+'OKT TCOS'!F8</f>
        <v>AEP OKLAHOMA TRANSMISSION COMPANY, INC.</v>
      </c>
      <c r="B5" s="2243"/>
      <c r="C5" s="2243"/>
      <c r="D5" s="2243"/>
      <c r="E5" s="2243"/>
      <c r="F5" s="2243"/>
      <c r="G5" s="2243"/>
      <c r="I5" s="1135"/>
      <c r="J5" s="1135"/>
    </row>
    <row r="7" spans="1:12" ht="21.75" customHeight="1">
      <c r="A7" s="1136" t="s">
        <v>307</v>
      </c>
      <c r="B7" s="721" t="str">
        <f>"DEVELOPMENT OF COMPOSITE STATE INCOME TAX  RATES FOR "&amp;'OKT TCOS'!$N$2&amp;""</f>
        <v>DEVELOPMENT OF COMPOSITE STATE INCOME TAX  RATES FOR 2022</v>
      </c>
      <c r="C7" s="721"/>
      <c r="D7" s="721"/>
      <c r="E7" s="721"/>
      <c r="F7" s="721"/>
      <c r="G7" s="721"/>
      <c r="H7" s="721"/>
      <c r="I7" s="721"/>
      <c r="J7" s="721"/>
    </row>
    <row r="8" spans="1:12" ht="12.75" customHeight="1">
      <c r="A8" s="721"/>
    </row>
    <row r="9" spans="1:12" ht="18">
      <c r="A9" s="1137"/>
      <c r="B9" s="1138" t="s">
        <v>127</v>
      </c>
      <c r="C9" s="1138"/>
      <c r="D9" s="1139" t="s">
        <v>128</v>
      </c>
      <c r="E9" s="1140">
        <v>3.8461538461538464E-2</v>
      </c>
      <c r="F9" s="404"/>
      <c r="G9" s="1141"/>
      <c r="H9" s="1141"/>
      <c r="L9" s="546"/>
    </row>
    <row r="10" spans="1:12" ht="15">
      <c r="A10" s="546"/>
      <c r="B10" s="275" t="s">
        <v>337</v>
      </c>
      <c r="C10" s="1142"/>
      <c r="D10" s="1142"/>
      <c r="E10" s="1140">
        <v>0.99546427000000004</v>
      </c>
      <c r="F10" s="404"/>
      <c r="G10" s="1141"/>
      <c r="H10" s="1141"/>
      <c r="L10" s="546"/>
    </row>
    <row r="11" spans="1:12" ht="15">
      <c r="A11" s="546"/>
      <c r="B11" s="275" t="s">
        <v>36</v>
      </c>
      <c r="C11" s="1142"/>
      <c r="D11" s="1142"/>
      <c r="E11" s="404"/>
      <c r="F11" s="1143">
        <f>ROUND(E9*E10,6)</f>
        <v>3.8287000000000002E-2</v>
      </c>
      <c r="G11" s="1141"/>
      <c r="L11" s="546"/>
    </row>
    <row r="12" spans="1:12" ht="15">
      <c r="A12" s="546"/>
      <c r="B12" s="275"/>
      <c r="C12" s="1142"/>
      <c r="D12" s="1142"/>
      <c r="E12" s="1142"/>
      <c r="F12" s="1144"/>
      <c r="G12" s="1141"/>
      <c r="L12" s="546"/>
    </row>
    <row r="13" spans="1:12" ht="15">
      <c r="A13" s="546"/>
      <c r="B13" s="1138" t="s">
        <v>653</v>
      </c>
      <c r="C13" s="1138"/>
      <c r="D13" s="1142"/>
      <c r="E13" s="1140"/>
      <c r="F13" s="1143"/>
      <c r="G13" s="1141"/>
      <c r="L13" s="546"/>
    </row>
    <row r="14" spans="1:12" ht="15">
      <c r="A14" s="546"/>
      <c r="B14" s="275" t="s">
        <v>337</v>
      </c>
      <c r="C14" s="1142"/>
      <c r="D14" s="1142"/>
      <c r="E14" s="1140"/>
      <c r="F14" s="1143"/>
      <c r="G14" s="1141"/>
      <c r="L14" s="546"/>
    </row>
    <row r="15" spans="1:12" ht="15">
      <c r="A15" s="546"/>
      <c r="B15" s="275" t="s">
        <v>36</v>
      </c>
      <c r="C15" s="1142"/>
      <c r="D15" s="1142"/>
      <c r="E15" s="404"/>
      <c r="F15" s="1143">
        <f>ROUND(E13*E14,6)</f>
        <v>0</v>
      </c>
      <c r="G15" s="1141"/>
      <c r="L15" s="546"/>
    </row>
    <row r="16" spans="1:12" ht="15">
      <c r="A16" s="546"/>
      <c r="B16" s="275"/>
      <c r="C16" s="1142"/>
      <c r="D16" s="1142"/>
      <c r="E16" s="1142"/>
      <c r="F16" s="1143"/>
      <c r="G16" s="1141"/>
      <c r="L16" s="546"/>
    </row>
    <row r="17" spans="1:12" ht="15">
      <c r="A17" s="546"/>
      <c r="B17" s="1138" t="s">
        <v>654</v>
      </c>
      <c r="C17" s="1138"/>
      <c r="D17" s="1145"/>
      <c r="E17" s="1140"/>
      <c r="F17" s="1146"/>
      <c r="G17" s="1141"/>
      <c r="L17" s="546"/>
    </row>
    <row r="18" spans="1:12" ht="15">
      <c r="A18" s="546"/>
      <c r="B18" s="275" t="s">
        <v>337</v>
      </c>
      <c r="C18" s="1142"/>
      <c r="D18" s="1145"/>
      <c r="E18" s="1140"/>
      <c r="F18" s="1146"/>
      <c r="G18" s="1141"/>
      <c r="L18" s="546"/>
    </row>
    <row r="19" spans="1:12" ht="15">
      <c r="A19" s="546"/>
      <c r="B19" s="275" t="s">
        <v>36</v>
      </c>
      <c r="C19" s="1142"/>
      <c r="D19" s="1145"/>
      <c r="E19" s="404"/>
      <c r="F19" s="1143">
        <f>ROUND(E17*E18,6)</f>
        <v>0</v>
      </c>
      <c r="G19" s="1141"/>
      <c r="L19" s="546"/>
    </row>
    <row r="20" spans="1:12" ht="15">
      <c r="A20" s="546"/>
      <c r="B20" s="275"/>
      <c r="C20" s="1142"/>
      <c r="D20" s="1145"/>
      <c r="E20" s="1142"/>
      <c r="F20" s="1143"/>
      <c r="G20" s="1141"/>
      <c r="L20" s="546"/>
    </row>
    <row r="21" spans="1:12" ht="15">
      <c r="A21" s="546"/>
      <c r="B21" s="1138" t="s">
        <v>654</v>
      </c>
      <c r="C21" s="1138"/>
      <c r="D21" s="1145"/>
      <c r="E21" s="1140"/>
      <c r="F21" s="1143"/>
      <c r="G21" s="1141"/>
      <c r="L21" s="546"/>
    </row>
    <row r="22" spans="1:12" ht="15">
      <c r="A22" s="546"/>
      <c r="B22" s="275" t="s">
        <v>337</v>
      </c>
      <c r="C22" s="1145"/>
      <c r="D22" s="1145"/>
      <c r="E22" s="1140"/>
      <c r="F22" s="1143"/>
      <c r="G22" s="1141"/>
      <c r="L22" s="546"/>
    </row>
    <row r="23" spans="1:12" ht="15">
      <c r="A23" s="546"/>
      <c r="B23" s="275" t="s">
        <v>36</v>
      </c>
      <c r="C23" s="1145"/>
      <c r="D23" s="1145"/>
      <c r="E23" s="1147"/>
      <c r="F23" s="1143">
        <f>ROUND(E21*E22,6)</f>
        <v>0</v>
      </c>
      <c r="G23" s="1141"/>
      <c r="L23" s="546"/>
    </row>
    <row r="24" spans="1:12" ht="15">
      <c r="A24" s="546"/>
      <c r="B24" s="275"/>
      <c r="C24" s="1142"/>
      <c r="D24" s="1142"/>
      <c r="E24" s="404"/>
      <c r="F24" s="1143"/>
      <c r="G24" s="1141"/>
      <c r="L24" s="546"/>
    </row>
    <row r="25" spans="1:12" ht="15">
      <c r="A25" s="546"/>
      <c r="B25" s="1138" t="s">
        <v>426</v>
      </c>
      <c r="C25" s="1138"/>
      <c r="D25" s="1145"/>
      <c r="E25" s="1140"/>
      <c r="F25" s="1143"/>
      <c r="G25" s="1141"/>
      <c r="L25" s="546"/>
    </row>
    <row r="26" spans="1:12" ht="15">
      <c r="A26" s="546"/>
      <c r="B26" s="275" t="s">
        <v>337</v>
      </c>
      <c r="C26" s="1145"/>
      <c r="D26" s="1145"/>
      <c r="E26" s="1140"/>
      <c r="F26" s="1143"/>
      <c r="G26" s="1141"/>
      <c r="L26" s="546"/>
    </row>
    <row r="27" spans="1:12" ht="15">
      <c r="A27" s="546"/>
      <c r="B27" s="275" t="s">
        <v>36</v>
      </c>
      <c r="C27" s="1145"/>
      <c r="D27" s="1145"/>
      <c r="E27" s="1147"/>
      <c r="F27" s="1143">
        <f>ROUND(E25*E26,6)</f>
        <v>0</v>
      </c>
      <c r="G27" s="1141"/>
      <c r="L27" s="546"/>
    </row>
    <row r="28" spans="1:12" ht="15">
      <c r="A28" s="546"/>
      <c r="B28" s="275"/>
      <c r="C28" s="1142"/>
      <c r="D28" s="1142"/>
      <c r="E28" s="404"/>
      <c r="F28" s="1143"/>
      <c r="G28" s="1141"/>
      <c r="L28" s="546"/>
    </row>
    <row r="29" spans="1:12" ht="15.75" thickBot="1">
      <c r="A29" s="546"/>
      <c r="B29" s="404" t="s">
        <v>338</v>
      </c>
      <c r="C29" s="1142"/>
      <c r="D29" s="1142"/>
      <c r="E29" s="404"/>
      <c r="F29" s="1148">
        <f>+ROUND(SUM(F10:F28),4)</f>
        <v>3.8300000000000001E-2</v>
      </c>
      <c r="G29" s="1141"/>
      <c r="I29" s="1149"/>
      <c r="L29" s="546"/>
    </row>
    <row r="30" spans="1:12" ht="13.5" thickTop="1">
      <c r="A30" s="546"/>
      <c r="G30" s="1141"/>
      <c r="L30" s="546"/>
    </row>
    <row r="31" spans="1:12" ht="15">
      <c r="A31" s="546"/>
      <c r="B31" s="1150" t="s">
        <v>1247</v>
      </c>
      <c r="G31" s="1141"/>
      <c r="L31" s="546"/>
    </row>
    <row r="32" spans="1:12" ht="15">
      <c r="A32" s="546"/>
      <c r="B32" s="404" t="s">
        <v>1248</v>
      </c>
      <c r="G32" s="1141"/>
      <c r="L32" s="546"/>
    </row>
    <row r="33" spans="1:12" ht="15">
      <c r="A33" s="546"/>
      <c r="B33" s="404"/>
      <c r="G33" s="1141"/>
      <c r="L33" s="546"/>
    </row>
    <row r="34" spans="1:12" ht="18">
      <c r="A34" s="1136" t="s">
        <v>308</v>
      </c>
      <c r="B34" s="721" t="s">
        <v>357</v>
      </c>
      <c r="C34" s="404"/>
      <c r="D34" s="404"/>
      <c r="E34" s="404"/>
      <c r="F34" s="404"/>
    </row>
    <row r="35" spans="1:12" ht="18">
      <c r="C35" s="721"/>
      <c r="I35" s="2265" t="s">
        <v>499</v>
      </c>
      <c r="J35" s="2265"/>
      <c r="K35" s="2265"/>
      <c r="L35" s="404"/>
    </row>
    <row r="36" spans="1:12" ht="15">
      <c r="I36" s="404"/>
      <c r="J36" s="404"/>
      <c r="K36" s="404"/>
      <c r="L36" s="404"/>
    </row>
    <row r="37" spans="1:12" ht="15">
      <c r="I37" s="650" t="s">
        <v>37</v>
      </c>
      <c r="J37" s="650"/>
      <c r="K37" s="650" t="s">
        <v>38</v>
      </c>
      <c r="L37" s="404"/>
    </row>
    <row r="38" spans="1:12" ht="15">
      <c r="A38" s="650" t="s">
        <v>150</v>
      </c>
      <c r="B38" s="57" t="str">
        <f>"REVENUE REQUIREMENT BEFORE TEXAS GROSS MARGIN TAX (TCOS ln "&amp;'OKT TCOS'!B191&amp;") "</f>
        <v xml:space="preserve">REVENUE REQUIREMENT BEFORE TEXAS GROSS MARGIN TAX (TCOS ln 116) </v>
      </c>
      <c r="I38" s="1151">
        <f>+'OKT TCOS'!G188</f>
        <v>173912998.62721896</v>
      </c>
      <c r="J38" s="404"/>
      <c r="K38" s="1151">
        <f>+'OKT TCOS'!L188</f>
        <v>180543014.47101551</v>
      </c>
      <c r="L38" s="404"/>
    </row>
    <row r="39" spans="1:12" ht="15">
      <c r="A39" s="404"/>
      <c r="B39" s="57"/>
      <c r="I39" s="404"/>
      <c r="J39" s="404"/>
      <c r="K39" s="404"/>
      <c r="L39" s="404"/>
    </row>
    <row r="40" spans="1:12" ht="15">
      <c r="A40" s="650">
        <v>1</v>
      </c>
      <c r="B40" s="57" t="str">
        <f>"Apportionment Factor to Texas (ln"&amp;A53&amp;")"</f>
        <v>Apportionment Factor to Texas (ln12)</v>
      </c>
      <c r="I40" s="1152">
        <f>+$E53</f>
        <v>0</v>
      </c>
      <c r="J40" s="404"/>
      <c r="K40" s="1152">
        <f>+$E53</f>
        <v>0</v>
      </c>
      <c r="L40" s="404"/>
    </row>
    <row r="41" spans="1:12" ht="15">
      <c r="A41" s="650">
        <f t="shared" ref="A41:A46" si="0">+A40+1</f>
        <v>2</v>
      </c>
      <c r="B41" s="57" t="s">
        <v>39</v>
      </c>
      <c r="I41" s="79">
        <f>+I38*I40</f>
        <v>0</v>
      </c>
      <c r="J41" s="404"/>
      <c r="K41" s="79">
        <f>+K38*K40</f>
        <v>0</v>
      </c>
      <c r="L41" s="404"/>
    </row>
    <row r="42" spans="1:12" ht="15">
      <c r="A42" s="650">
        <f t="shared" si="0"/>
        <v>3</v>
      </c>
      <c r="B42" s="57" t="s">
        <v>642</v>
      </c>
      <c r="I42" s="1153">
        <v>0.22</v>
      </c>
      <c r="J42" s="404"/>
      <c r="K42" s="1154">
        <f>+I42</f>
        <v>0.22</v>
      </c>
      <c r="L42" s="404"/>
    </row>
    <row r="43" spans="1:12" ht="15">
      <c r="A43" s="650">
        <f t="shared" si="0"/>
        <v>4</v>
      </c>
      <c r="B43" s="57" t="s">
        <v>40</v>
      </c>
      <c r="I43" s="1155">
        <f>+I41*I42</f>
        <v>0</v>
      </c>
      <c r="J43" s="404"/>
      <c r="K43" s="1155">
        <f>+K41*K42</f>
        <v>0</v>
      </c>
      <c r="L43" s="404"/>
    </row>
    <row r="44" spans="1:12" ht="15">
      <c r="A44" s="650">
        <f t="shared" si="0"/>
        <v>5</v>
      </c>
      <c r="B44" s="57" t="s">
        <v>643</v>
      </c>
      <c r="I44" s="1154">
        <v>0.01</v>
      </c>
      <c r="J44" s="404"/>
      <c r="K44" s="1154">
        <f>+I44</f>
        <v>0.01</v>
      </c>
      <c r="L44" s="404"/>
    </row>
    <row r="45" spans="1:12" ht="15">
      <c r="A45" s="650">
        <f t="shared" si="0"/>
        <v>6</v>
      </c>
      <c r="B45" s="57" t="s">
        <v>41</v>
      </c>
      <c r="I45" s="286">
        <f>+I43*I44</f>
        <v>0</v>
      </c>
      <c r="J45" s="404"/>
      <c r="K45" s="286">
        <f>+K43*K44</f>
        <v>0</v>
      </c>
      <c r="L45" s="404"/>
    </row>
    <row r="46" spans="1:12" ht="15">
      <c r="A46" s="650">
        <f t="shared" si="0"/>
        <v>7</v>
      </c>
      <c r="B46" s="53" t="s">
        <v>42</v>
      </c>
      <c r="I46" s="302">
        <f>+ROUND((I45*I42*I40)/(1-I44)*I44,0)</f>
        <v>0</v>
      </c>
      <c r="J46" s="404"/>
      <c r="K46" s="302">
        <f>+ROUND((K45*K42*K40)/(1-K44)*K44,0)</f>
        <v>0</v>
      </c>
      <c r="L46" s="404"/>
    </row>
    <row r="47" spans="1:12" ht="15">
      <c r="A47" s="650"/>
      <c r="B47" s="53"/>
      <c r="D47" s="1156" t="str">
        <f>"   ((ln "&amp;A45&amp;" * ln "&amp;A42&amp;" * ln "&amp;A40&amp;")/(1- ln "&amp;A44&amp;") * ln "&amp;A44&amp;")"</f>
        <v xml:space="preserve">   ((ln 6 * ln 3 * ln 1)/(1- ln 5) * ln 5)</v>
      </c>
      <c r="I47" s="302"/>
      <c r="J47" s="404"/>
      <c r="K47" s="302"/>
      <c r="L47" s="404"/>
    </row>
    <row r="48" spans="1:12" ht="15">
      <c r="A48" s="650">
        <f>+A46+1</f>
        <v>8</v>
      </c>
      <c r="B48" s="53" t="s">
        <v>31</v>
      </c>
      <c r="I48" s="1157">
        <f>+I45+I46</f>
        <v>0</v>
      </c>
      <c r="J48" s="404"/>
      <c r="K48" s="1157">
        <f>+K45+K46</f>
        <v>0</v>
      </c>
      <c r="L48" s="404"/>
    </row>
    <row r="49" spans="1:12" ht="15">
      <c r="A49" s="650"/>
      <c r="I49" s="404"/>
      <c r="J49" s="404"/>
      <c r="K49" s="404"/>
      <c r="L49" s="404"/>
    </row>
    <row r="50" spans="1:12" ht="15">
      <c r="A50" s="650">
        <f>+A48+1</f>
        <v>9</v>
      </c>
      <c r="B50" s="314" t="s">
        <v>43</v>
      </c>
      <c r="C50" s="373"/>
      <c r="D50" s="61"/>
      <c r="E50" s="53"/>
    </row>
    <row r="51" spans="1:12" ht="15">
      <c r="A51" s="650">
        <f>+A50+1</f>
        <v>10</v>
      </c>
      <c r="B51" s="314" t="s">
        <v>44</v>
      </c>
      <c r="C51" s="373"/>
      <c r="D51" s="61"/>
      <c r="E51" s="1158">
        <v>0</v>
      </c>
      <c r="F51" s="493" t="s">
        <v>1</v>
      </c>
      <c r="G51" s="714"/>
    </row>
    <row r="52" spans="1:12" ht="15">
      <c r="A52" s="650">
        <f>+A51+1</f>
        <v>11</v>
      </c>
      <c r="B52" s="314" t="s">
        <v>45</v>
      </c>
      <c r="C52" s="373"/>
      <c r="D52" s="61"/>
      <c r="E52" s="1158">
        <v>0</v>
      </c>
      <c r="F52" s="493" t="s">
        <v>1</v>
      </c>
    </row>
    <row r="53" spans="1:12" ht="15">
      <c r="A53" s="650">
        <f>+A52+1</f>
        <v>12</v>
      </c>
      <c r="B53" s="314" t="s">
        <v>46</v>
      </c>
      <c r="C53" s="373" t="str">
        <f>"(ln "&amp;A51&amp;" / ln "&amp;A52&amp;")"</f>
        <v>(ln 10 / ln 11)</v>
      </c>
      <c r="D53" s="61"/>
      <c r="E53" s="1159">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7"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189"/>
  <sheetViews>
    <sheetView showGridLines="0" zoomScale="81" zoomScaleNormal="81" zoomScaleSheetLayoutView="75" zoomScalePageLayoutView="50" workbookViewId="0">
      <selection activeCell="C20" sqref="C20"/>
    </sheetView>
  </sheetViews>
  <sheetFormatPr defaultColWidth="9.28515625" defaultRowHeight="12.75"/>
  <cols>
    <col min="1" max="1" width="7.28515625" style="1204" customWidth="1"/>
    <col min="2" max="2" width="1.7109375" style="1161" customWidth="1"/>
    <col min="3" max="3" width="77" style="1161" customWidth="1"/>
    <col min="4" max="4" width="1.7109375" style="1161" customWidth="1"/>
    <col min="5" max="5" width="20.42578125" style="1162" customWidth="1"/>
    <col min="6" max="6" width="1.7109375" style="1163" customWidth="1"/>
    <col min="7" max="7" width="20" style="1163" bestFit="1" customWidth="1"/>
    <col min="8" max="8" width="1.7109375" style="1163" customWidth="1"/>
    <col min="9" max="9" width="21.42578125" style="1163" customWidth="1"/>
    <col min="10" max="10" width="1.7109375" style="1163" customWidth="1"/>
    <col min="11" max="11" width="17.7109375" style="1163" bestFit="1" customWidth="1"/>
    <col min="12" max="12" width="3.42578125" style="1163" customWidth="1"/>
    <col min="13" max="13" width="21.28515625" style="1163" bestFit="1" customWidth="1"/>
    <col min="14" max="14" width="1.7109375" style="1163" hidden="1" customWidth="1"/>
    <col min="15" max="15" width="22.28515625" style="1163" customWidth="1"/>
    <col min="16" max="20" width="9.28515625" style="1163"/>
    <col min="21" max="21" width="13" style="1163" customWidth="1"/>
    <col min="22" max="16384" width="9.28515625" style="1163"/>
  </cols>
  <sheetData>
    <row r="1" spans="1:29" ht="15">
      <c r="A1" s="1160"/>
    </row>
    <row r="2" spans="1:29" ht="18.75" customHeight="1">
      <c r="A2" s="2192" t="str">
        <f>+'OKT TCOS'!F4</f>
        <v xml:space="preserve">AEP West SPP Member Transmission Companies </v>
      </c>
      <c r="B2" s="2192"/>
      <c r="C2" s="2192"/>
      <c r="D2" s="2192"/>
      <c r="E2" s="2192"/>
      <c r="F2" s="2192"/>
      <c r="G2" s="2192"/>
      <c r="H2" s="2192"/>
      <c r="I2" s="2192"/>
      <c r="J2" s="2192"/>
      <c r="K2" s="2192"/>
      <c r="L2" s="2192"/>
      <c r="M2" s="2192"/>
    </row>
    <row r="3" spans="1:29" ht="18.75" customHeight="1">
      <c r="A3" s="2186" t="str">
        <f>+'OKT WS A-1 - Plant'!A3</f>
        <v xml:space="preserve">Actual / Projected 2022 Rate Year Cost of Service Formula Rate </v>
      </c>
      <c r="B3" s="2186"/>
      <c r="C3" s="2186"/>
      <c r="D3" s="2186"/>
      <c r="E3" s="2186"/>
      <c r="F3" s="2186"/>
      <c r="G3" s="2186"/>
      <c r="H3" s="2186"/>
      <c r="I3" s="2186"/>
      <c r="J3" s="2186"/>
      <c r="K3" s="2186"/>
      <c r="L3" s="2186"/>
      <c r="M3" s="2186"/>
    </row>
    <row r="4" spans="1:29" ht="18.75" customHeight="1">
      <c r="A4" s="2187" t="s">
        <v>115</v>
      </c>
      <c r="B4" s="2186"/>
      <c r="C4" s="2186"/>
      <c r="D4" s="2186"/>
      <c r="E4" s="2186"/>
      <c r="F4" s="2186"/>
      <c r="G4" s="2186"/>
      <c r="H4" s="2186"/>
      <c r="I4" s="2186"/>
      <c r="J4" s="2186"/>
      <c r="K4" s="2186"/>
      <c r="L4" s="2186"/>
      <c r="M4" s="2186"/>
    </row>
    <row r="5" spans="1:29" ht="18" customHeight="1">
      <c r="A5" s="2193" t="str">
        <f>+'OKT TCOS'!F8</f>
        <v>AEP OKLAHOMA TRANSMISSION COMPANY, INC.</v>
      </c>
      <c r="B5" s="2193"/>
      <c r="C5" s="2193"/>
      <c r="D5" s="2193"/>
      <c r="E5" s="2193"/>
      <c r="F5" s="2193"/>
      <c r="G5" s="2193"/>
      <c r="H5" s="2193"/>
      <c r="I5" s="2193"/>
      <c r="J5" s="2193"/>
      <c r="K5" s="2193"/>
      <c r="L5" s="2193"/>
      <c r="M5" s="2193"/>
    </row>
    <row r="6" spans="1:29" ht="18" customHeight="1">
      <c r="A6" s="2267"/>
      <c r="B6" s="2267"/>
      <c r="C6" s="2267"/>
      <c r="D6" s="2267"/>
      <c r="E6" s="2267"/>
      <c r="F6" s="2267"/>
      <c r="G6" s="2267"/>
      <c r="H6" s="2267"/>
      <c r="I6" s="2267"/>
      <c r="J6" s="2267"/>
      <c r="K6" s="2267"/>
      <c r="L6" s="2267"/>
      <c r="M6" s="2267"/>
    </row>
    <row r="7" spans="1:29" ht="18" customHeight="1">
      <c r="A7" s="2266"/>
      <c r="B7" s="2266"/>
      <c r="C7" s="2266"/>
      <c r="D7" s="2266"/>
      <c r="E7" s="2266"/>
      <c r="F7" s="2266"/>
      <c r="G7" s="2266"/>
      <c r="H7" s="2266"/>
      <c r="I7" s="2266"/>
      <c r="J7" s="2266"/>
      <c r="K7" s="2266"/>
      <c r="L7" s="2266"/>
      <c r="M7" s="2266"/>
    </row>
    <row r="8" spans="1:29" ht="18" customHeight="1">
      <c r="A8" s="923"/>
      <c r="B8" s="923"/>
      <c r="C8" s="923"/>
      <c r="D8" s="923"/>
      <c r="E8" s="923"/>
      <c r="F8" s="923"/>
      <c r="G8" s="923"/>
      <c r="H8" s="923"/>
      <c r="I8" s="923"/>
      <c r="J8" s="923"/>
      <c r="K8" s="923"/>
      <c r="L8" s="923"/>
      <c r="M8" s="923"/>
    </row>
    <row r="9" spans="1:29" ht="19.5" customHeight="1">
      <c r="A9" s="1164"/>
      <c r="B9" s="1165"/>
      <c r="C9" s="534" t="s">
        <v>298</v>
      </c>
      <c r="E9" s="534" t="s">
        <v>299</v>
      </c>
      <c r="G9" s="534" t="s">
        <v>300</v>
      </c>
      <c r="I9" s="534" t="s">
        <v>301</v>
      </c>
      <c r="K9" s="534" t="s">
        <v>226</v>
      </c>
      <c r="M9" s="534" t="s">
        <v>227</v>
      </c>
    </row>
    <row r="10" spans="1:29" ht="18">
      <c r="A10" s="1166"/>
      <c r="B10" s="1167"/>
      <c r="C10" s="1167"/>
      <c r="D10" s="1167"/>
      <c r="E10" s="493"/>
      <c r="F10" s="493"/>
      <c r="G10" s="493"/>
      <c r="H10" s="493"/>
      <c r="I10" s="493"/>
      <c r="J10" s="493"/>
      <c r="K10" s="493"/>
      <c r="L10" s="493"/>
      <c r="M10" s="493"/>
      <c r="Q10" s="650"/>
      <c r="R10" s="650"/>
      <c r="S10" s="650"/>
      <c r="T10" s="650"/>
      <c r="U10" s="650"/>
      <c r="V10" s="650"/>
      <c r="W10" s="650"/>
      <c r="X10" s="650"/>
      <c r="Y10" s="650"/>
      <c r="Z10" s="650"/>
      <c r="AA10" s="650"/>
      <c r="AB10" s="650"/>
      <c r="AC10" s="650"/>
    </row>
    <row r="11" spans="1:29" ht="19.5">
      <c r="A11" s="1166" t="s">
        <v>305</v>
      </c>
      <c r="B11" s="1167"/>
      <c r="C11" s="1167"/>
      <c r="D11" s="1167"/>
      <c r="E11" s="1168" t="s">
        <v>255</v>
      </c>
      <c r="F11" s="1166"/>
      <c r="G11" s="1166"/>
      <c r="H11" s="1166"/>
      <c r="I11" s="1166"/>
      <c r="J11" s="1166"/>
      <c r="K11" s="1169"/>
      <c r="L11" s="1169"/>
      <c r="M11" s="1170"/>
    </row>
    <row r="12" spans="1:29" ht="19.5">
      <c r="A12" s="1171" t="s">
        <v>254</v>
      </c>
      <c r="B12" s="1167"/>
      <c r="C12" s="1171" t="s">
        <v>387</v>
      </c>
      <c r="D12" s="1167"/>
      <c r="E12" s="1172" t="s">
        <v>317</v>
      </c>
      <c r="F12" s="1166"/>
      <c r="G12" s="1171" t="s">
        <v>388</v>
      </c>
      <c r="H12" s="1166"/>
      <c r="I12" s="1171" t="s">
        <v>297</v>
      </c>
      <c r="J12" s="1166"/>
      <c r="K12" s="1173" t="s">
        <v>315</v>
      </c>
      <c r="L12" s="1174"/>
      <c r="M12" s="1173" t="s">
        <v>389</v>
      </c>
    </row>
    <row r="13" spans="1:29" ht="19.5">
      <c r="A13" s="1175"/>
      <c r="B13" s="1165"/>
      <c r="C13" s="1176"/>
      <c r="D13" s="1176"/>
      <c r="E13" s="1176"/>
      <c r="F13" s="1176"/>
      <c r="G13" s="1176"/>
      <c r="H13" s="1176"/>
      <c r="I13" s="1176"/>
      <c r="J13" s="1176"/>
      <c r="K13" s="1177"/>
      <c r="L13" s="1177"/>
    </row>
    <row r="14" spans="1:29" ht="19.5">
      <c r="A14" s="1164"/>
      <c r="B14" s="1165"/>
      <c r="C14" s="1178"/>
      <c r="D14" s="1165"/>
      <c r="E14" s="1179"/>
      <c r="F14" s="1180"/>
      <c r="G14" s="1180"/>
      <c r="H14" s="1180"/>
      <c r="I14" s="1179"/>
      <c r="J14" s="1180"/>
      <c r="K14" s="1177"/>
      <c r="L14" s="1177"/>
    </row>
    <row r="15" spans="1:29" ht="19.5">
      <c r="A15" s="1164">
        <v>1</v>
      </c>
      <c r="B15" s="1165"/>
      <c r="C15" s="1181" t="s">
        <v>392</v>
      </c>
      <c r="D15" s="1165"/>
      <c r="E15" s="1177"/>
      <c r="F15" s="1177"/>
      <c r="G15" s="1182"/>
      <c r="H15" s="1182"/>
      <c r="I15" s="1182"/>
      <c r="J15" s="1182"/>
      <c r="K15" s="1182"/>
      <c r="L15" s="1182"/>
      <c r="M15" s="1182"/>
    </row>
    <row r="16" spans="1:29" ht="19.5">
      <c r="A16" s="1164">
        <f>+A15+1</f>
        <v>2</v>
      </c>
      <c r="B16" s="1165"/>
      <c r="C16" s="1183"/>
      <c r="D16" s="1165"/>
      <c r="E16" s="1183"/>
      <c r="F16" s="1177"/>
      <c r="G16" s="1183"/>
      <c r="H16" s="1183"/>
      <c r="I16" s="1183"/>
      <c r="J16" s="1183"/>
      <c r="K16" s="1183"/>
      <c r="L16" s="1183"/>
      <c r="M16" s="1183">
        <f>+E16</f>
        <v>0</v>
      </c>
    </row>
    <row r="17" spans="1:25" ht="19.5">
      <c r="A17" s="1164">
        <f>+A16+1</f>
        <v>3</v>
      </c>
      <c r="B17" s="1165"/>
      <c r="C17" s="1183"/>
      <c r="D17" s="1165"/>
      <c r="E17" s="1183"/>
      <c r="F17" s="1177"/>
      <c r="G17" s="1183"/>
      <c r="H17" s="1183"/>
      <c r="I17" s="1183"/>
      <c r="J17" s="1183"/>
      <c r="K17" s="1183"/>
      <c r="L17" s="1183"/>
      <c r="M17" s="1183"/>
    </row>
    <row r="18" spans="1:25" ht="19.5">
      <c r="A18" s="1164"/>
      <c r="B18" s="1165"/>
      <c r="C18" s="1169"/>
      <c r="D18" s="1165"/>
      <c r="E18" s="1184"/>
      <c r="F18" s="1177"/>
      <c r="G18" s="1184"/>
      <c r="H18" s="1184"/>
      <c r="I18" s="1184"/>
      <c r="J18" s="1184"/>
      <c r="K18" s="1184"/>
      <c r="L18" s="1184"/>
      <c r="M18" s="1184"/>
      <c r="O18" s="1185"/>
    </row>
    <row r="19" spans="1:25" ht="19.5">
      <c r="A19" s="1164">
        <f>+A17+1</f>
        <v>4</v>
      </c>
      <c r="B19" s="1165"/>
      <c r="C19" s="1181" t="s">
        <v>393</v>
      </c>
      <c r="D19" s="1165"/>
      <c r="E19" s="1183"/>
      <c r="F19" s="1177"/>
      <c r="G19" s="1183"/>
      <c r="H19" s="1183"/>
      <c r="I19" s="1183"/>
      <c r="J19" s="1183"/>
      <c r="K19" s="1183"/>
      <c r="L19" s="1183"/>
      <c r="M19" s="1183"/>
      <c r="O19" s="131"/>
    </row>
    <row r="20" spans="1:25" ht="18">
      <c r="A20" s="1164">
        <f>+A19+1</f>
        <v>5</v>
      </c>
      <c r="B20" s="1165"/>
      <c r="C20" s="1186" t="s">
        <v>1188</v>
      </c>
      <c r="D20" s="1165"/>
      <c r="E20" s="1183">
        <v>0</v>
      </c>
      <c r="F20" s="1180"/>
      <c r="G20" s="1183">
        <f>+E20</f>
        <v>0</v>
      </c>
      <c r="H20" s="1183"/>
      <c r="I20" s="1183"/>
      <c r="J20" s="1183"/>
      <c r="K20" s="1183"/>
      <c r="L20" s="1183"/>
      <c r="M20" s="1183"/>
      <c r="O20" s="137"/>
      <c r="P20" s="493"/>
      <c r="Q20" s="493"/>
      <c r="R20" s="493"/>
      <c r="S20" s="493"/>
      <c r="T20" s="493"/>
      <c r="U20" s="493"/>
      <c r="V20" s="493"/>
      <c r="W20" s="493"/>
      <c r="X20" s="493"/>
      <c r="Y20" s="493"/>
    </row>
    <row r="21" spans="1:25" ht="19.5">
      <c r="A21" s="1164">
        <f>+A20+1</f>
        <v>6</v>
      </c>
      <c r="B21" s="1165"/>
      <c r="C21" s="1186" t="s">
        <v>1256</v>
      </c>
      <c r="D21" s="1165"/>
      <c r="E21" s="1183">
        <v>13500174.27</v>
      </c>
      <c r="F21" s="1177"/>
      <c r="G21" s="1183">
        <f>+E21</f>
        <v>13500174.27</v>
      </c>
      <c r="H21" s="1183"/>
      <c r="I21" s="1183"/>
      <c r="J21" s="1183"/>
      <c r="K21" s="1183"/>
      <c r="L21" s="1183"/>
      <c r="M21" s="1183"/>
      <c r="O21" s="276"/>
      <c r="P21" s="493"/>
      <c r="Q21" s="493"/>
      <c r="R21" s="493"/>
      <c r="S21" s="493"/>
      <c r="T21" s="493"/>
      <c r="U21" s="493"/>
      <c r="V21" s="493"/>
      <c r="W21" s="493"/>
      <c r="X21" s="493"/>
      <c r="Y21" s="493"/>
    </row>
    <row r="22" spans="1:25" ht="18">
      <c r="A22" s="1164">
        <f>+A21+1</f>
        <v>7</v>
      </c>
      <c r="B22" s="1165"/>
      <c r="C22" s="1187"/>
      <c r="D22" s="1165"/>
      <c r="E22" s="1187"/>
      <c r="F22" s="1180"/>
      <c r="G22" s="1183"/>
      <c r="H22" s="1183"/>
      <c r="I22" s="1183"/>
      <c r="J22" s="1183"/>
      <c r="K22" s="1183"/>
      <c r="L22" s="1183"/>
      <c r="M22" s="1187"/>
      <c r="O22" s="137"/>
      <c r="P22" s="493"/>
      <c r="Q22" s="493"/>
      <c r="R22" s="493"/>
      <c r="S22" s="493"/>
      <c r="T22" s="493"/>
      <c r="U22" s="493"/>
      <c r="V22" s="493"/>
      <c r="W22" s="493"/>
      <c r="X22" s="493"/>
      <c r="Y22" s="493"/>
    </row>
    <row r="23" spans="1:25" ht="19.5">
      <c r="A23" s="1164">
        <f>+A22+1</f>
        <v>8</v>
      </c>
      <c r="B23" s="1165"/>
      <c r="C23" s="1183"/>
      <c r="D23" s="1165"/>
      <c r="E23" s="1183"/>
      <c r="F23" s="1177"/>
      <c r="G23" s="1183"/>
      <c r="H23" s="1183"/>
      <c r="I23" s="1183"/>
      <c r="J23" s="1183"/>
      <c r="K23" s="1183"/>
      <c r="L23" s="1183"/>
      <c r="M23" s="1183"/>
      <c r="O23" s="131"/>
      <c r="P23" s="493"/>
      <c r="Q23" s="493"/>
      <c r="R23" s="493"/>
      <c r="S23" s="493"/>
      <c r="T23" s="493"/>
      <c r="U23" s="493"/>
      <c r="V23" s="493"/>
      <c r="W23" s="493"/>
      <c r="X23" s="493"/>
      <c r="Y23" s="493"/>
    </row>
    <row r="24" spans="1:25" ht="19.5">
      <c r="A24" s="1164">
        <f>+A23+1</f>
        <v>9</v>
      </c>
      <c r="B24" s="1165"/>
      <c r="C24" s="1183"/>
      <c r="D24" s="1165"/>
      <c r="E24" s="1183"/>
      <c r="F24" s="1177"/>
      <c r="G24" s="1183"/>
      <c r="H24" s="1183"/>
      <c r="I24" s="1183"/>
      <c r="J24" s="1183"/>
      <c r="K24" s="1183"/>
      <c r="L24" s="1183"/>
      <c r="M24" s="1183">
        <f>+E24</f>
        <v>0</v>
      </c>
      <c r="O24" s="131"/>
      <c r="P24" s="493"/>
      <c r="Q24" s="493"/>
      <c r="R24" s="493"/>
      <c r="S24" s="493"/>
      <c r="T24" s="493"/>
      <c r="U24" s="493"/>
      <c r="V24" s="493"/>
      <c r="W24" s="493"/>
      <c r="X24" s="493"/>
      <c r="Y24" s="493"/>
    </row>
    <row r="25" spans="1:25" ht="19.5">
      <c r="A25" s="1164"/>
      <c r="B25" s="1165"/>
      <c r="C25" s="1169"/>
      <c r="D25" s="1165"/>
      <c r="E25" s="1184"/>
      <c r="F25" s="1177"/>
      <c r="G25" s="1184"/>
      <c r="H25" s="1184"/>
      <c r="I25" s="1184"/>
      <c r="J25" s="1184"/>
      <c r="K25" s="1184"/>
      <c r="L25" s="1184"/>
      <c r="M25" s="1184"/>
      <c r="O25" s="131"/>
      <c r="P25" s="493"/>
      <c r="Q25" s="493"/>
      <c r="R25" s="493"/>
      <c r="S25" s="493"/>
      <c r="T25" s="493"/>
      <c r="U25" s="493"/>
      <c r="V25" s="493"/>
      <c r="W25" s="493"/>
      <c r="X25" s="493"/>
      <c r="Y25" s="493"/>
    </row>
    <row r="26" spans="1:25" ht="19.5">
      <c r="A26" s="1164">
        <f>+A24+1</f>
        <v>10</v>
      </c>
      <c r="B26" s="1165"/>
      <c r="C26" s="1181" t="s">
        <v>394</v>
      </c>
      <c r="D26" s="1165"/>
      <c r="E26" s="1184"/>
      <c r="F26" s="1177"/>
      <c r="G26" s="1184"/>
      <c r="H26" s="1184"/>
      <c r="I26" s="1184"/>
      <c r="J26" s="1184"/>
      <c r="K26" s="1184"/>
      <c r="L26" s="1184"/>
      <c r="M26" s="1184"/>
      <c r="O26" s="493"/>
      <c r="P26" s="493"/>
      <c r="Q26" s="493"/>
      <c r="R26" s="493"/>
      <c r="S26" s="493"/>
      <c r="T26" s="493"/>
      <c r="U26" s="493"/>
      <c r="V26" s="493"/>
      <c r="W26" s="493"/>
      <c r="X26" s="493"/>
      <c r="Y26" s="493"/>
    </row>
    <row r="27" spans="1:25" ht="19.5">
      <c r="A27" s="1164">
        <f>+A26+1</f>
        <v>11</v>
      </c>
      <c r="B27" s="1165"/>
      <c r="C27" s="1183"/>
      <c r="D27" s="1165"/>
      <c r="E27" s="1183"/>
      <c r="F27" s="1177"/>
      <c r="G27" s="1183"/>
      <c r="H27" s="1183"/>
      <c r="I27" s="1183"/>
      <c r="J27" s="1183"/>
      <c r="K27" s="1183"/>
      <c r="L27" s="1183"/>
      <c r="M27" s="1183"/>
      <c r="O27" s="493"/>
      <c r="P27" s="493"/>
      <c r="Q27" s="493"/>
      <c r="R27" s="493"/>
      <c r="S27" s="493"/>
      <c r="T27" s="493"/>
      <c r="U27" s="493"/>
      <c r="V27" s="493"/>
      <c r="W27" s="493"/>
      <c r="X27" s="493"/>
      <c r="Y27" s="493"/>
    </row>
    <row r="28" spans="1:25" ht="19.5">
      <c r="A28" s="1164">
        <f>+A27+1</f>
        <v>12</v>
      </c>
      <c r="B28" s="1165"/>
      <c r="C28" s="1183"/>
      <c r="D28" s="1165"/>
      <c r="E28" s="1183"/>
      <c r="F28" s="1177"/>
      <c r="G28" s="1183"/>
      <c r="H28" s="1183"/>
      <c r="I28" s="1183"/>
      <c r="J28" s="1183"/>
      <c r="K28" s="1183"/>
      <c r="L28" s="1183"/>
      <c r="M28" s="1183"/>
      <c r="O28" s="493"/>
      <c r="P28" s="493"/>
      <c r="Q28" s="493"/>
      <c r="R28" s="493"/>
      <c r="S28" s="493"/>
      <c r="T28" s="493"/>
      <c r="U28" s="493"/>
      <c r="V28" s="493"/>
      <c r="W28" s="493"/>
      <c r="X28" s="493"/>
      <c r="Y28" s="493"/>
    </row>
    <row r="29" spans="1:25" ht="19.5">
      <c r="A29" s="1164">
        <f>+A28+1</f>
        <v>13</v>
      </c>
      <c r="B29" s="1165"/>
      <c r="C29" s="1183"/>
      <c r="D29" s="1165"/>
      <c r="E29" s="1183"/>
      <c r="F29" s="1177"/>
      <c r="G29" s="1183"/>
      <c r="H29" s="1183"/>
      <c r="I29" s="1183"/>
      <c r="J29" s="1183"/>
      <c r="K29" s="1183"/>
      <c r="L29" s="1183"/>
      <c r="M29" s="1183"/>
      <c r="O29" s="493"/>
      <c r="P29" s="493"/>
      <c r="Q29" s="493"/>
      <c r="R29" s="493"/>
      <c r="S29" s="493"/>
      <c r="T29" s="493"/>
      <c r="U29" s="493"/>
      <c r="V29" s="493"/>
      <c r="W29" s="493"/>
      <c r="X29" s="493"/>
      <c r="Y29" s="493"/>
    </row>
    <row r="30" spans="1:25" ht="18">
      <c r="A30" s="1164">
        <f>+A29+1</f>
        <v>14</v>
      </c>
      <c r="B30" s="1165"/>
      <c r="C30" s="1187"/>
      <c r="D30" s="1165"/>
      <c r="E30" s="1187"/>
      <c r="F30" s="1180"/>
      <c r="G30" s="1183"/>
      <c r="H30" s="1183"/>
      <c r="I30" s="1183"/>
      <c r="J30" s="1183"/>
      <c r="K30" s="1183"/>
      <c r="L30" s="1183"/>
      <c r="M30" s="1187"/>
      <c r="O30" s="493"/>
      <c r="P30" s="493"/>
      <c r="Q30" s="493"/>
      <c r="R30" s="493"/>
      <c r="S30" s="493"/>
      <c r="T30" s="493"/>
      <c r="U30" s="493"/>
      <c r="V30" s="493"/>
      <c r="W30" s="493"/>
      <c r="X30" s="493"/>
      <c r="Y30" s="493"/>
    </row>
    <row r="31" spans="1:25" ht="19.5">
      <c r="A31" s="1164" t="s">
        <v>251</v>
      </c>
      <c r="B31" s="1165"/>
      <c r="C31" s="1177"/>
      <c r="D31" s="1165"/>
      <c r="E31" s="1184"/>
      <c r="F31" s="1177"/>
      <c r="G31" s="1184"/>
      <c r="H31" s="1184"/>
      <c r="I31" s="1184"/>
      <c r="J31" s="1184"/>
      <c r="K31" s="1184"/>
      <c r="L31" s="1184"/>
      <c r="M31" s="1184"/>
      <c r="O31" s="493"/>
      <c r="P31" s="493"/>
      <c r="Q31" s="493"/>
      <c r="R31" s="493"/>
      <c r="S31" s="493"/>
      <c r="T31" s="493"/>
      <c r="U31" s="493"/>
      <c r="V31" s="493"/>
      <c r="W31" s="493"/>
      <c r="X31" s="493"/>
      <c r="Y31" s="493"/>
    </row>
    <row r="32" spans="1:25" ht="19.5">
      <c r="A32" s="1164">
        <f>+A30+1</f>
        <v>15</v>
      </c>
      <c r="B32" s="1165"/>
      <c r="C32" s="1181" t="s">
        <v>62</v>
      </c>
      <c r="D32" s="1165"/>
      <c r="E32" s="1184"/>
      <c r="F32" s="1177"/>
      <c r="G32" s="1184"/>
      <c r="H32" s="1184"/>
      <c r="I32" s="1184"/>
      <c r="J32" s="1184"/>
      <c r="K32" s="1184"/>
      <c r="L32" s="1184"/>
      <c r="M32" s="1184"/>
      <c r="O32" s="493"/>
      <c r="P32" s="493"/>
      <c r="Q32" s="493"/>
      <c r="R32" s="493"/>
      <c r="S32" s="493"/>
      <c r="T32" s="493"/>
      <c r="U32" s="493"/>
      <c r="V32" s="493"/>
      <c r="W32" s="493"/>
      <c r="X32" s="493"/>
      <c r="Y32" s="493"/>
    </row>
    <row r="33" spans="1:25" ht="19.5">
      <c r="A33" s="1164">
        <f>A32+1</f>
        <v>16</v>
      </c>
      <c r="B33" s="1165"/>
      <c r="C33" s="569"/>
      <c r="D33" s="1165"/>
      <c r="E33" s="1183"/>
      <c r="F33" s="1177"/>
      <c r="G33" s="1183"/>
      <c r="H33" s="1183"/>
      <c r="I33" s="1183"/>
      <c r="J33" s="1183"/>
      <c r="K33" s="1183"/>
      <c r="L33" s="1183"/>
      <c r="M33" s="1183">
        <f>+E33</f>
        <v>0</v>
      </c>
      <c r="O33" s="493"/>
      <c r="P33" s="493"/>
      <c r="Q33" s="493"/>
      <c r="R33" s="493"/>
      <c r="S33" s="493"/>
      <c r="T33" s="493"/>
      <c r="U33" s="493"/>
      <c r="V33" s="493"/>
      <c r="W33" s="493"/>
      <c r="X33" s="493"/>
      <c r="Y33" s="493"/>
    </row>
    <row r="34" spans="1:25" ht="19.5">
      <c r="A34" s="1164">
        <f>A33+1</f>
        <v>17</v>
      </c>
      <c r="B34" s="1165"/>
      <c r="C34" s="569"/>
      <c r="D34" s="1165"/>
      <c r="E34" s="1183"/>
      <c r="F34" s="1177"/>
      <c r="G34" s="1183"/>
      <c r="H34" s="1183"/>
      <c r="I34" s="1183"/>
      <c r="J34" s="1183"/>
      <c r="K34" s="1183"/>
      <c r="L34" s="1183"/>
      <c r="M34" s="1183"/>
      <c r="O34" s="493"/>
      <c r="P34" s="493"/>
      <c r="Q34" s="493"/>
      <c r="R34" s="493"/>
      <c r="S34" s="493"/>
      <c r="T34" s="493"/>
      <c r="U34" s="493"/>
      <c r="V34" s="493"/>
      <c r="W34" s="493"/>
      <c r="X34" s="493"/>
      <c r="Y34" s="493"/>
    </row>
    <row r="35" spans="1:25" ht="19.5">
      <c r="A35" s="1164">
        <f>+A34+1</f>
        <v>18</v>
      </c>
      <c r="B35" s="1165"/>
      <c r="C35" s="569"/>
      <c r="D35" s="1165"/>
      <c r="E35" s="1183"/>
      <c r="F35" s="1177"/>
      <c r="G35" s="1183"/>
      <c r="H35" s="1183"/>
      <c r="I35" s="1183"/>
      <c r="J35" s="1183"/>
      <c r="K35" s="1183"/>
      <c r="L35" s="1183"/>
      <c r="M35" s="1183"/>
      <c r="O35" s="493"/>
      <c r="P35" s="493"/>
      <c r="Q35" s="493"/>
      <c r="R35" s="493"/>
      <c r="S35" s="493"/>
      <c r="T35" s="493"/>
      <c r="U35" s="493"/>
      <c r="V35" s="493"/>
      <c r="W35" s="493"/>
      <c r="X35" s="493"/>
      <c r="Y35" s="493"/>
    </row>
    <row r="36" spans="1:25" ht="19.5">
      <c r="A36" s="1164"/>
      <c r="B36" s="1165"/>
      <c r="C36" s="1177"/>
      <c r="D36" s="1165"/>
      <c r="E36" s="1184"/>
      <c r="F36" s="1177"/>
      <c r="G36" s="1184"/>
      <c r="H36" s="1184"/>
      <c r="I36" s="1184"/>
      <c r="J36" s="1184"/>
      <c r="K36" s="1184"/>
      <c r="L36" s="1184"/>
      <c r="M36" s="1184"/>
      <c r="O36" s="493"/>
      <c r="P36" s="493"/>
      <c r="Q36" s="493"/>
      <c r="R36" s="493"/>
      <c r="S36" s="493"/>
      <c r="T36" s="493"/>
      <c r="U36" s="493"/>
      <c r="V36" s="493"/>
      <c r="W36" s="493"/>
      <c r="X36" s="493"/>
      <c r="Y36" s="493"/>
    </row>
    <row r="37" spans="1:25" ht="19.5">
      <c r="A37" s="1188">
        <f>+A35+1</f>
        <v>19</v>
      </c>
      <c r="B37" s="1189"/>
      <c r="C37" s="1181" t="s">
        <v>391</v>
      </c>
      <c r="D37" s="1190"/>
      <c r="E37" s="1184"/>
      <c r="F37" s="1177"/>
      <c r="G37" s="1184"/>
      <c r="H37" s="1184"/>
      <c r="I37" s="1184"/>
      <c r="J37" s="1184"/>
      <c r="K37" s="1184"/>
      <c r="L37" s="1184"/>
      <c r="M37" s="1184"/>
    </row>
    <row r="38" spans="1:25" ht="19.5">
      <c r="A38" s="1188">
        <f t="shared" ref="A38:A47" si="0">A37+1</f>
        <v>20</v>
      </c>
      <c r="B38" s="1189"/>
      <c r="C38" s="1191" t="s">
        <v>965</v>
      </c>
      <c r="D38" s="1165"/>
      <c r="E38" s="1183">
        <v>-1688.8700000000001</v>
      </c>
      <c r="F38" s="1177"/>
      <c r="G38" s="1183"/>
      <c r="H38" s="1183"/>
      <c r="I38" s="1183"/>
      <c r="J38" s="1183"/>
      <c r="K38" s="1183">
        <f>+E38</f>
        <v>-1688.8700000000001</v>
      </c>
      <c r="L38" s="1183"/>
      <c r="M38" s="1183"/>
    </row>
    <row r="39" spans="1:25" ht="19.5">
      <c r="A39" s="1188">
        <f t="shared" si="0"/>
        <v>21</v>
      </c>
      <c r="B39" s="1189"/>
      <c r="C39" s="1191" t="s">
        <v>966</v>
      </c>
      <c r="D39" s="1165"/>
      <c r="E39" s="1183">
        <v>20000</v>
      </c>
      <c r="F39" s="1177"/>
      <c r="G39" s="1183"/>
      <c r="H39" s="1183"/>
      <c r="I39" s="1183"/>
      <c r="J39" s="1183"/>
      <c r="K39" s="1183">
        <f>+E39</f>
        <v>20000</v>
      </c>
      <c r="L39" s="1183"/>
      <c r="M39" s="1183"/>
      <c r="O39" s="137"/>
    </row>
    <row r="40" spans="1:25" ht="19.5">
      <c r="A40" s="1188">
        <f t="shared" si="0"/>
        <v>22</v>
      </c>
      <c r="B40" s="1189"/>
      <c r="C40" s="1186" t="s">
        <v>1014</v>
      </c>
      <c r="D40" s="1165"/>
      <c r="E40" s="1183">
        <v>3</v>
      </c>
      <c r="F40" s="1177"/>
      <c r="G40" s="1183"/>
      <c r="H40" s="1183"/>
      <c r="I40" s="1183"/>
      <c r="J40" s="1183"/>
      <c r="K40" s="1183">
        <f>+E40</f>
        <v>3</v>
      </c>
      <c r="L40" s="1183"/>
      <c r="M40" s="1183"/>
      <c r="O40" s="137"/>
    </row>
    <row r="41" spans="1:25" ht="19.5">
      <c r="A41" s="1188">
        <f t="shared" si="0"/>
        <v>23</v>
      </c>
      <c r="B41" s="1189"/>
      <c r="C41" s="1186"/>
      <c r="D41" s="1165"/>
      <c r="E41" s="1183"/>
      <c r="F41" s="1177"/>
      <c r="G41" s="1183"/>
      <c r="H41" s="1183"/>
      <c r="I41" s="1183"/>
      <c r="J41" s="1183"/>
      <c r="K41" s="1183"/>
      <c r="L41" s="1183"/>
      <c r="M41" s="1183"/>
      <c r="O41" s="137"/>
    </row>
    <row r="42" spans="1:25" ht="19.5">
      <c r="A42" s="1188">
        <f t="shared" si="0"/>
        <v>24</v>
      </c>
      <c r="B42" s="1189"/>
      <c r="C42" s="1186"/>
      <c r="D42" s="1165"/>
      <c r="E42" s="1183"/>
      <c r="F42" s="1177"/>
      <c r="G42" s="1183"/>
      <c r="H42" s="1183"/>
      <c r="I42" s="1183"/>
      <c r="J42" s="1183"/>
      <c r="K42" s="1183"/>
      <c r="L42" s="1183"/>
      <c r="M42" s="1183"/>
    </row>
    <row r="43" spans="1:25" ht="19.5">
      <c r="A43" s="1188">
        <f t="shared" si="0"/>
        <v>25</v>
      </c>
      <c r="B43" s="1189"/>
      <c r="C43" s="1186"/>
      <c r="D43" s="1165"/>
      <c r="E43" s="1183"/>
      <c r="F43" s="1177"/>
      <c r="G43" s="1183"/>
      <c r="H43" s="1183"/>
      <c r="I43" s="1183"/>
      <c r="J43" s="1183"/>
      <c r="K43" s="1183"/>
      <c r="L43" s="1183"/>
      <c r="M43" s="1183"/>
    </row>
    <row r="44" spans="1:25" ht="19.5">
      <c r="A44" s="1188">
        <f t="shared" si="0"/>
        <v>26</v>
      </c>
      <c r="B44" s="1189"/>
      <c r="C44" s="1186"/>
      <c r="D44" s="1165"/>
      <c r="E44" s="1183"/>
      <c r="F44" s="1177"/>
      <c r="G44" s="1183"/>
      <c r="H44" s="1183"/>
      <c r="I44" s="1183"/>
      <c r="J44" s="1183"/>
      <c r="K44" s="1183"/>
      <c r="L44" s="1183"/>
      <c r="M44" s="1183"/>
    </row>
    <row r="45" spans="1:25" ht="19.5">
      <c r="A45" s="1188">
        <f t="shared" si="0"/>
        <v>27</v>
      </c>
      <c r="B45" s="1189"/>
      <c r="C45" s="1186"/>
      <c r="D45" s="1165"/>
      <c r="E45" s="1183"/>
      <c r="F45" s="1177"/>
      <c r="G45" s="1183"/>
      <c r="H45" s="1183"/>
      <c r="I45" s="1183"/>
      <c r="J45" s="1183"/>
      <c r="K45" s="1183"/>
      <c r="L45" s="1183"/>
      <c r="M45" s="1183"/>
      <c r="O45" s="137"/>
    </row>
    <row r="46" spans="1:25" ht="19.5">
      <c r="A46" s="1188">
        <f t="shared" si="0"/>
        <v>28</v>
      </c>
      <c r="B46" s="1165"/>
      <c r="C46" s="1186"/>
      <c r="D46" s="1165"/>
      <c r="E46" s="1183"/>
      <c r="F46" s="1177"/>
      <c r="G46" s="1183"/>
      <c r="H46" s="1183"/>
      <c r="I46" s="1183"/>
      <c r="J46" s="1183"/>
      <c r="K46" s="1183"/>
      <c r="L46" s="1183"/>
      <c r="M46" s="1183"/>
      <c r="O46" s="137"/>
    </row>
    <row r="47" spans="1:25" ht="19.5">
      <c r="A47" s="1188">
        <f t="shared" si="0"/>
        <v>29</v>
      </c>
      <c r="B47" s="1165"/>
      <c r="C47" s="1186"/>
      <c r="D47" s="1165"/>
      <c r="E47" s="1183"/>
      <c r="F47" s="1177"/>
      <c r="G47" s="1183"/>
      <c r="H47" s="1183"/>
      <c r="I47" s="1183"/>
      <c r="J47" s="1183"/>
      <c r="K47" s="1183"/>
      <c r="L47" s="1183"/>
      <c r="M47" s="1183"/>
      <c r="O47" s="137"/>
    </row>
    <row r="48" spans="1:25" ht="19.5">
      <c r="A48" s="1164">
        <f>A47+1</f>
        <v>30</v>
      </c>
      <c r="B48" s="1165"/>
      <c r="C48" s="1186"/>
      <c r="D48" s="1165"/>
      <c r="E48" s="1183"/>
      <c r="F48" s="1177"/>
      <c r="G48" s="1183"/>
      <c r="H48" s="1183"/>
      <c r="I48" s="1183"/>
      <c r="J48" s="1183"/>
      <c r="K48" s="1183"/>
      <c r="L48" s="1183"/>
      <c r="M48" s="1183"/>
      <c r="O48" s="131"/>
    </row>
    <row r="49" spans="1:15" ht="19.5">
      <c r="A49" s="1164">
        <f>A48+1</f>
        <v>31</v>
      </c>
      <c r="B49" s="1165"/>
      <c r="C49" s="1186"/>
      <c r="D49" s="1165"/>
      <c r="E49" s="1183"/>
      <c r="F49" s="1177"/>
      <c r="G49" s="1183"/>
      <c r="H49" s="1183"/>
      <c r="I49" s="1183"/>
      <c r="J49" s="1183"/>
      <c r="K49" s="1183"/>
      <c r="L49" s="1183"/>
      <c r="M49" s="1183"/>
      <c r="O49" s="131"/>
    </row>
    <row r="50" spans="1:15" ht="19.5">
      <c r="A50" s="1164">
        <f>A49+1</f>
        <v>32</v>
      </c>
      <c r="B50" s="1177"/>
      <c r="C50" s="1183"/>
      <c r="D50" s="1165"/>
      <c r="E50" s="1183"/>
      <c r="F50" s="1177"/>
      <c r="G50" s="1183"/>
      <c r="H50" s="1183"/>
      <c r="I50" s="1183"/>
      <c r="J50" s="1183"/>
      <c r="K50" s="1183"/>
      <c r="L50" s="1183"/>
      <c r="M50" s="1183"/>
      <c r="O50" s="131"/>
    </row>
    <row r="51" spans="1:15" ht="19.5">
      <c r="A51" s="1164">
        <f>+A50+1</f>
        <v>33</v>
      </c>
      <c r="B51" s="1177"/>
      <c r="C51" s="1187"/>
      <c r="D51" s="1165"/>
      <c r="E51" s="1187"/>
      <c r="F51" s="1180"/>
      <c r="G51" s="1183"/>
      <c r="H51" s="1183"/>
      <c r="I51" s="1183"/>
      <c r="J51" s="1183"/>
      <c r="K51" s="1183"/>
      <c r="L51" s="1183"/>
      <c r="M51" s="1187"/>
      <c r="O51" s="131"/>
    </row>
    <row r="52" spans="1:15" ht="19.5">
      <c r="A52" s="1164">
        <f>+A51+1</f>
        <v>34</v>
      </c>
      <c r="B52" s="1177"/>
      <c r="C52" s="1183"/>
      <c r="D52" s="1165"/>
      <c r="E52" s="1183"/>
      <c r="F52" s="1177"/>
      <c r="G52" s="1183"/>
      <c r="H52" s="1183"/>
      <c r="I52" s="1183"/>
      <c r="J52" s="1183"/>
      <c r="K52" s="1183"/>
      <c r="L52" s="1183"/>
      <c r="M52" s="1183"/>
    </row>
    <row r="53" spans="1:15" ht="19.5">
      <c r="A53" s="493"/>
      <c r="B53" s="493"/>
      <c r="C53" s="493"/>
      <c r="D53" s="493"/>
      <c r="E53" s="493"/>
      <c r="F53" s="1177"/>
      <c r="H53" s="1192"/>
      <c r="I53" s="1193"/>
      <c r="J53" s="1193"/>
      <c r="K53" s="1194"/>
      <c r="L53" s="1195"/>
      <c r="M53" s="1195"/>
    </row>
    <row r="54" spans="1:15" ht="20.25" thickBot="1">
      <c r="A54" s="1188">
        <f>+A52+1</f>
        <v>35</v>
      </c>
      <c r="B54" s="493"/>
      <c r="C54" s="1177" t="s">
        <v>390</v>
      </c>
      <c r="D54" s="493"/>
      <c r="E54" s="1196">
        <f>SUM(E16:E52)</f>
        <v>13518488.4</v>
      </c>
      <c r="F54" s="1177"/>
      <c r="G54" s="1196">
        <f>SUM(G16:G52)</f>
        <v>13500174.27</v>
      </c>
      <c r="H54" s="1192"/>
      <c r="I54" s="1196">
        <f>SUM(I16:I52)</f>
        <v>0</v>
      </c>
      <c r="J54" s="1193"/>
      <c r="K54" s="1196">
        <f>SUM(K16:K52)</f>
        <v>18314.13</v>
      </c>
      <c r="L54" s="1195"/>
      <c r="M54" s="1196">
        <f>SUM(M16:M52)</f>
        <v>0</v>
      </c>
    </row>
    <row r="55" spans="1:15" ht="30" customHeight="1" thickTop="1">
      <c r="A55" s="493"/>
      <c r="B55" s="493"/>
      <c r="C55" s="1197" t="s">
        <v>137</v>
      </c>
      <c r="D55" s="1198"/>
      <c r="E55"/>
      <c r="F55" s="1197"/>
      <c r="G55" s="1200"/>
      <c r="H55" s="1200"/>
      <c r="J55" s="1201"/>
      <c r="K55" s="1202"/>
      <c r="L55" s="1202"/>
      <c r="M55" s="1203" t="str">
        <f>IF(SUM(G54:M54)=E54,"","Error - allocations don’t match total")</f>
        <v/>
      </c>
    </row>
    <row r="57" spans="1:15">
      <c r="C57" s="1205" t="str">
        <f>"NOTE:  As a check, the difference between the total from Ln "&amp;A54&amp;" above and the total on FF1 p.263 line 41(i)"</f>
        <v>NOTE:  As a check, the difference between the total from Ln 35 above and the total on FF1 p.263 line 41(i)</v>
      </c>
    </row>
    <row r="58" spans="1:15">
      <c r="C58" s="1205" t="s">
        <v>117</v>
      </c>
    </row>
    <row r="60" spans="1:15">
      <c r="I60" s="1162"/>
    </row>
    <row r="188" spans="7:7" ht="13.5" thickBot="1"/>
    <row r="189" spans="7:7" ht="20.25" thickBot="1">
      <c r="G189" s="1206" t="e">
        <f>IF(#REF!&lt;&gt;0,+#REF!/#REF!*#REF!,0)</f>
        <v>#REF!</v>
      </c>
    </row>
  </sheetData>
  <mergeCells count="6">
    <mergeCell ref="A7:M7"/>
    <mergeCell ref="A6:M6"/>
    <mergeCell ref="A2:M2"/>
    <mergeCell ref="A3:M3"/>
    <mergeCell ref="A4:M4"/>
    <mergeCell ref="A5:M5"/>
  </mergeCells>
  <phoneticPr fontId="62" type="noConversion"/>
  <printOptions horizontalCentered="1"/>
  <pageMargins left="0.75" right="0.75" top="1" bottom="0.25" header="0.65" footer="0.5"/>
  <pageSetup scale="11"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47"/>
  <sheetViews>
    <sheetView zoomScale="90" zoomScaleNormal="90" zoomScaleSheetLayoutView="80" zoomScalePageLayoutView="85" workbookViewId="0">
      <selection activeCell="A3" sqref="A3:H3"/>
    </sheetView>
  </sheetViews>
  <sheetFormatPr defaultColWidth="11.42578125" defaultRowHeight="12.75"/>
  <cols>
    <col min="1" max="1" width="10.28515625" style="1239" customWidth="1"/>
    <col min="2" max="2" width="52.28515625" style="1207" customWidth="1"/>
    <col min="3" max="7" width="20.28515625" style="1207" customWidth="1"/>
    <col min="8" max="8" width="23" style="1207" customWidth="1"/>
    <col min="9" max="11" width="20.28515625" style="1207" customWidth="1"/>
    <col min="12" max="12" width="20" style="1207" customWidth="1"/>
    <col min="13" max="14" width="15.28515625" style="1207" customWidth="1"/>
    <col min="15" max="256" width="11.42578125" style="1207"/>
    <col min="257" max="257" width="10.28515625" style="1207" customWidth="1"/>
    <col min="258" max="258" width="52.28515625" style="1207" customWidth="1"/>
    <col min="259" max="263" width="20.28515625" style="1207" customWidth="1"/>
    <col min="264" max="264" width="23" style="1207" customWidth="1"/>
    <col min="265" max="267" width="20.28515625" style="1207" customWidth="1"/>
    <col min="268" max="268" width="20" style="1207" customWidth="1"/>
    <col min="269" max="270" width="15.28515625" style="1207" customWidth="1"/>
    <col min="271" max="512" width="11.42578125" style="1207"/>
    <col min="513" max="513" width="10.28515625" style="1207" customWidth="1"/>
    <col min="514" max="514" width="52.28515625" style="1207" customWidth="1"/>
    <col min="515" max="519" width="20.28515625" style="1207" customWidth="1"/>
    <col min="520" max="520" width="23" style="1207" customWidth="1"/>
    <col min="521" max="523" width="20.28515625" style="1207" customWidth="1"/>
    <col min="524" max="524" width="20" style="1207" customWidth="1"/>
    <col min="525" max="526" width="15.28515625" style="1207" customWidth="1"/>
    <col min="527" max="768" width="11.42578125" style="1207"/>
    <col min="769" max="769" width="10.28515625" style="1207" customWidth="1"/>
    <col min="770" max="770" width="52.28515625" style="1207" customWidth="1"/>
    <col min="771" max="775" width="20.28515625" style="1207" customWidth="1"/>
    <col min="776" max="776" width="23" style="1207" customWidth="1"/>
    <col min="777" max="779" width="20.28515625" style="1207" customWidth="1"/>
    <col min="780" max="780" width="20" style="1207" customWidth="1"/>
    <col min="781" max="782" width="15.28515625" style="1207" customWidth="1"/>
    <col min="783" max="1024" width="11.42578125" style="1207"/>
    <col min="1025" max="1025" width="10.28515625" style="1207" customWidth="1"/>
    <col min="1026" max="1026" width="52.28515625" style="1207" customWidth="1"/>
    <col min="1027" max="1031" width="20.28515625" style="1207" customWidth="1"/>
    <col min="1032" max="1032" width="23" style="1207" customWidth="1"/>
    <col min="1033" max="1035" width="20.28515625" style="1207" customWidth="1"/>
    <col min="1036" max="1036" width="20" style="1207" customWidth="1"/>
    <col min="1037" max="1038" width="15.28515625" style="1207" customWidth="1"/>
    <col min="1039" max="1280" width="11.42578125" style="1207"/>
    <col min="1281" max="1281" width="10.28515625" style="1207" customWidth="1"/>
    <col min="1282" max="1282" width="52.28515625" style="1207" customWidth="1"/>
    <col min="1283" max="1287" width="20.28515625" style="1207" customWidth="1"/>
    <col min="1288" max="1288" width="23" style="1207" customWidth="1"/>
    <col min="1289" max="1291" width="20.28515625" style="1207" customWidth="1"/>
    <col min="1292" max="1292" width="20" style="1207" customWidth="1"/>
    <col min="1293" max="1294" width="15.28515625" style="1207" customWidth="1"/>
    <col min="1295" max="1536" width="11.42578125" style="1207"/>
    <col min="1537" max="1537" width="10.28515625" style="1207" customWidth="1"/>
    <col min="1538" max="1538" width="52.28515625" style="1207" customWidth="1"/>
    <col min="1539" max="1543" width="20.28515625" style="1207" customWidth="1"/>
    <col min="1544" max="1544" width="23" style="1207" customWidth="1"/>
    <col min="1545" max="1547" width="20.28515625" style="1207" customWidth="1"/>
    <col min="1548" max="1548" width="20" style="1207" customWidth="1"/>
    <col min="1549" max="1550" width="15.28515625" style="1207" customWidth="1"/>
    <col min="1551" max="1792" width="11.42578125" style="1207"/>
    <col min="1793" max="1793" width="10.28515625" style="1207" customWidth="1"/>
    <col min="1794" max="1794" width="52.28515625" style="1207" customWidth="1"/>
    <col min="1795" max="1799" width="20.28515625" style="1207" customWidth="1"/>
    <col min="1800" max="1800" width="23" style="1207" customWidth="1"/>
    <col min="1801" max="1803" width="20.28515625" style="1207" customWidth="1"/>
    <col min="1804" max="1804" width="20" style="1207" customWidth="1"/>
    <col min="1805" max="1806" width="15.28515625" style="1207" customWidth="1"/>
    <col min="1807" max="2048" width="11.42578125" style="1207"/>
    <col min="2049" max="2049" width="10.28515625" style="1207" customWidth="1"/>
    <col min="2050" max="2050" width="52.28515625" style="1207" customWidth="1"/>
    <col min="2051" max="2055" width="20.28515625" style="1207" customWidth="1"/>
    <col min="2056" max="2056" width="23" style="1207" customWidth="1"/>
    <col min="2057" max="2059" width="20.28515625" style="1207" customWidth="1"/>
    <col min="2060" max="2060" width="20" style="1207" customWidth="1"/>
    <col min="2061" max="2062" width="15.28515625" style="1207" customWidth="1"/>
    <col min="2063" max="2304" width="11.42578125" style="1207"/>
    <col min="2305" max="2305" width="10.28515625" style="1207" customWidth="1"/>
    <col min="2306" max="2306" width="52.28515625" style="1207" customWidth="1"/>
    <col min="2307" max="2311" width="20.28515625" style="1207" customWidth="1"/>
    <col min="2312" max="2312" width="23" style="1207" customWidth="1"/>
    <col min="2313" max="2315" width="20.28515625" style="1207" customWidth="1"/>
    <col min="2316" max="2316" width="20" style="1207" customWidth="1"/>
    <col min="2317" max="2318" width="15.28515625" style="1207" customWidth="1"/>
    <col min="2319" max="2560" width="11.42578125" style="1207"/>
    <col min="2561" max="2561" width="10.28515625" style="1207" customWidth="1"/>
    <col min="2562" max="2562" width="52.28515625" style="1207" customWidth="1"/>
    <col min="2563" max="2567" width="20.28515625" style="1207" customWidth="1"/>
    <col min="2568" max="2568" width="23" style="1207" customWidth="1"/>
    <col min="2569" max="2571" width="20.28515625" style="1207" customWidth="1"/>
    <col min="2572" max="2572" width="20" style="1207" customWidth="1"/>
    <col min="2573" max="2574" width="15.28515625" style="1207" customWidth="1"/>
    <col min="2575" max="2816" width="11.42578125" style="1207"/>
    <col min="2817" max="2817" width="10.28515625" style="1207" customWidth="1"/>
    <col min="2818" max="2818" width="52.28515625" style="1207" customWidth="1"/>
    <col min="2819" max="2823" width="20.28515625" style="1207" customWidth="1"/>
    <col min="2824" max="2824" width="23" style="1207" customWidth="1"/>
    <col min="2825" max="2827" width="20.28515625" style="1207" customWidth="1"/>
    <col min="2828" max="2828" width="20" style="1207" customWidth="1"/>
    <col min="2829" max="2830" width="15.28515625" style="1207" customWidth="1"/>
    <col min="2831" max="3072" width="11.42578125" style="1207"/>
    <col min="3073" max="3073" width="10.28515625" style="1207" customWidth="1"/>
    <col min="3074" max="3074" width="52.28515625" style="1207" customWidth="1"/>
    <col min="3075" max="3079" width="20.28515625" style="1207" customWidth="1"/>
    <col min="3080" max="3080" width="23" style="1207" customWidth="1"/>
    <col min="3081" max="3083" width="20.28515625" style="1207" customWidth="1"/>
    <col min="3084" max="3084" width="20" style="1207" customWidth="1"/>
    <col min="3085" max="3086" width="15.28515625" style="1207" customWidth="1"/>
    <col min="3087" max="3328" width="11.42578125" style="1207"/>
    <col min="3329" max="3329" width="10.28515625" style="1207" customWidth="1"/>
    <col min="3330" max="3330" width="52.28515625" style="1207" customWidth="1"/>
    <col min="3331" max="3335" width="20.28515625" style="1207" customWidth="1"/>
    <col min="3336" max="3336" width="23" style="1207" customWidth="1"/>
    <col min="3337" max="3339" width="20.28515625" style="1207" customWidth="1"/>
    <col min="3340" max="3340" width="20" style="1207" customWidth="1"/>
    <col min="3341" max="3342" width="15.28515625" style="1207" customWidth="1"/>
    <col min="3343" max="3584" width="11.42578125" style="1207"/>
    <col min="3585" max="3585" width="10.28515625" style="1207" customWidth="1"/>
    <col min="3586" max="3586" width="52.28515625" style="1207" customWidth="1"/>
    <col min="3587" max="3591" width="20.28515625" style="1207" customWidth="1"/>
    <col min="3592" max="3592" width="23" style="1207" customWidth="1"/>
    <col min="3593" max="3595" width="20.28515625" style="1207" customWidth="1"/>
    <col min="3596" max="3596" width="20" style="1207" customWidth="1"/>
    <col min="3597" max="3598" width="15.28515625" style="1207" customWidth="1"/>
    <col min="3599" max="3840" width="11.42578125" style="1207"/>
    <col min="3841" max="3841" width="10.28515625" style="1207" customWidth="1"/>
    <col min="3842" max="3842" width="52.28515625" style="1207" customWidth="1"/>
    <col min="3843" max="3847" width="20.28515625" style="1207" customWidth="1"/>
    <col min="3848" max="3848" width="23" style="1207" customWidth="1"/>
    <col min="3849" max="3851" width="20.28515625" style="1207" customWidth="1"/>
    <col min="3852" max="3852" width="20" style="1207" customWidth="1"/>
    <col min="3853" max="3854" width="15.28515625" style="1207" customWidth="1"/>
    <col min="3855" max="4096" width="11.42578125" style="1207"/>
    <col min="4097" max="4097" width="10.28515625" style="1207" customWidth="1"/>
    <col min="4098" max="4098" width="52.28515625" style="1207" customWidth="1"/>
    <col min="4099" max="4103" width="20.28515625" style="1207" customWidth="1"/>
    <col min="4104" max="4104" width="23" style="1207" customWidth="1"/>
    <col min="4105" max="4107" width="20.28515625" style="1207" customWidth="1"/>
    <col min="4108" max="4108" width="20" style="1207" customWidth="1"/>
    <col min="4109" max="4110" width="15.28515625" style="1207" customWidth="1"/>
    <col min="4111" max="4352" width="11.42578125" style="1207"/>
    <col min="4353" max="4353" width="10.28515625" style="1207" customWidth="1"/>
    <col min="4354" max="4354" width="52.28515625" style="1207" customWidth="1"/>
    <col min="4355" max="4359" width="20.28515625" style="1207" customWidth="1"/>
    <col min="4360" max="4360" width="23" style="1207" customWidth="1"/>
    <col min="4361" max="4363" width="20.28515625" style="1207" customWidth="1"/>
    <col min="4364" max="4364" width="20" style="1207" customWidth="1"/>
    <col min="4365" max="4366" width="15.28515625" style="1207" customWidth="1"/>
    <col min="4367" max="4608" width="11.42578125" style="1207"/>
    <col min="4609" max="4609" width="10.28515625" style="1207" customWidth="1"/>
    <col min="4610" max="4610" width="52.28515625" style="1207" customWidth="1"/>
    <col min="4611" max="4615" width="20.28515625" style="1207" customWidth="1"/>
    <col min="4616" max="4616" width="23" style="1207" customWidth="1"/>
    <col min="4617" max="4619" width="20.28515625" style="1207" customWidth="1"/>
    <col min="4620" max="4620" width="20" style="1207" customWidth="1"/>
    <col min="4621" max="4622" width="15.28515625" style="1207" customWidth="1"/>
    <col min="4623" max="4864" width="11.42578125" style="1207"/>
    <col min="4865" max="4865" width="10.28515625" style="1207" customWidth="1"/>
    <col min="4866" max="4866" width="52.28515625" style="1207" customWidth="1"/>
    <col min="4867" max="4871" width="20.28515625" style="1207" customWidth="1"/>
    <col min="4872" max="4872" width="23" style="1207" customWidth="1"/>
    <col min="4873" max="4875" width="20.28515625" style="1207" customWidth="1"/>
    <col min="4876" max="4876" width="20" style="1207" customWidth="1"/>
    <col min="4877" max="4878" width="15.28515625" style="1207" customWidth="1"/>
    <col min="4879" max="5120" width="11.42578125" style="1207"/>
    <col min="5121" max="5121" width="10.28515625" style="1207" customWidth="1"/>
    <col min="5122" max="5122" width="52.28515625" style="1207" customWidth="1"/>
    <col min="5123" max="5127" width="20.28515625" style="1207" customWidth="1"/>
    <col min="5128" max="5128" width="23" style="1207" customWidth="1"/>
    <col min="5129" max="5131" width="20.28515625" style="1207" customWidth="1"/>
    <col min="5132" max="5132" width="20" style="1207" customWidth="1"/>
    <col min="5133" max="5134" width="15.28515625" style="1207" customWidth="1"/>
    <col min="5135" max="5376" width="11.42578125" style="1207"/>
    <col min="5377" max="5377" width="10.28515625" style="1207" customWidth="1"/>
    <col min="5378" max="5378" width="52.28515625" style="1207" customWidth="1"/>
    <col min="5379" max="5383" width="20.28515625" style="1207" customWidth="1"/>
    <col min="5384" max="5384" width="23" style="1207" customWidth="1"/>
    <col min="5385" max="5387" width="20.28515625" style="1207" customWidth="1"/>
    <col min="5388" max="5388" width="20" style="1207" customWidth="1"/>
    <col min="5389" max="5390" width="15.28515625" style="1207" customWidth="1"/>
    <col min="5391" max="5632" width="11.42578125" style="1207"/>
    <col min="5633" max="5633" width="10.28515625" style="1207" customWidth="1"/>
    <col min="5634" max="5634" width="52.28515625" style="1207" customWidth="1"/>
    <col min="5635" max="5639" width="20.28515625" style="1207" customWidth="1"/>
    <col min="5640" max="5640" width="23" style="1207" customWidth="1"/>
    <col min="5641" max="5643" width="20.28515625" style="1207" customWidth="1"/>
    <col min="5644" max="5644" width="20" style="1207" customWidth="1"/>
    <col min="5645" max="5646" width="15.28515625" style="1207" customWidth="1"/>
    <col min="5647" max="5888" width="11.42578125" style="1207"/>
    <col min="5889" max="5889" width="10.28515625" style="1207" customWidth="1"/>
    <col min="5890" max="5890" width="52.28515625" style="1207" customWidth="1"/>
    <col min="5891" max="5895" width="20.28515625" style="1207" customWidth="1"/>
    <col min="5896" max="5896" width="23" style="1207" customWidth="1"/>
    <col min="5897" max="5899" width="20.28515625" style="1207" customWidth="1"/>
    <col min="5900" max="5900" width="20" style="1207" customWidth="1"/>
    <col min="5901" max="5902" width="15.28515625" style="1207" customWidth="1"/>
    <col min="5903" max="6144" width="11.42578125" style="1207"/>
    <col min="6145" max="6145" width="10.28515625" style="1207" customWidth="1"/>
    <col min="6146" max="6146" width="52.28515625" style="1207" customWidth="1"/>
    <col min="6147" max="6151" width="20.28515625" style="1207" customWidth="1"/>
    <col min="6152" max="6152" width="23" style="1207" customWidth="1"/>
    <col min="6153" max="6155" width="20.28515625" style="1207" customWidth="1"/>
    <col min="6156" max="6156" width="20" style="1207" customWidth="1"/>
    <col min="6157" max="6158" width="15.28515625" style="1207" customWidth="1"/>
    <col min="6159" max="6400" width="11.42578125" style="1207"/>
    <col min="6401" max="6401" width="10.28515625" style="1207" customWidth="1"/>
    <col min="6402" max="6402" width="52.28515625" style="1207" customWidth="1"/>
    <col min="6403" max="6407" width="20.28515625" style="1207" customWidth="1"/>
    <col min="6408" max="6408" width="23" style="1207" customWidth="1"/>
    <col min="6409" max="6411" width="20.28515625" style="1207" customWidth="1"/>
    <col min="6412" max="6412" width="20" style="1207" customWidth="1"/>
    <col min="6413" max="6414" width="15.28515625" style="1207" customWidth="1"/>
    <col min="6415" max="6656" width="11.42578125" style="1207"/>
    <col min="6657" max="6657" width="10.28515625" style="1207" customWidth="1"/>
    <col min="6658" max="6658" width="52.28515625" style="1207" customWidth="1"/>
    <col min="6659" max="6663" width="20.28515625" style="1207" customWidth="1"/>
    <col min="6664" max="6664" width="23" style="1207" customWidth="1"/>
    <col min="6665" max="6667" width="20.28515625" style="1207" customWidth="1"/>
    <col min="6668" max="6668" width="20" style="1207" customWidth="1"/>
    <col min="6669" max="6670" width="15.28515625" style="1207" customWidth="1"/>
    <col min="6671" max="6912" width="11.42578125" style="1207"/>
    <col min="6913" max="6913" width="10.28515625" style="1207" customWidth="1"/>
    <col min="6914" max="6914" width="52.28515625" style="1207" customWidth="1"/>
    <col min="6915" max="6919" width="20.28515625" style="1207" customWidth="1"/>
    <col min="6920" max="6920" width="23" style="1207" customWidth="1"/>
    <col min="6921" max="6923" width="20.28515625" style="1207" customWidth="1"/>
    <col min="6924" max="6924" width="20" style="1207" customWidth="1"/>
    <col min="6925" max="6926" width="15.28515625" style="1207" customWidth="1"/>
    <col min="6927" max="7168" width="11.42578125" style="1207"/>
    <col min="7169" max="7169" width="10.28515625" style="1207" customWidth="1"/>
    <col min="7170" max="7170" width="52.28515625" style="1207" customWidth="1"/>
    <col min="7171" max="7175" width="20.28515625" style="1207" customWidth="1"/>
    <col min="7176" max="7176" width="23" style="1207" customWidth="1"/>
    <col min="7177" max="7179" width="20.28515625" style="1207" customWidth="1"/>
    <col min="7180" max="7180" width="20" style="1207" customWidth="1"/>
    <col min="7181" max="7182" width="15.28515625" style="1207" customWidth="1"/>
    <col min="7183" max="7424" width="11.42578125" style="1207"/>
    <col min="7425" max="7425" width="10.28515625" style="1207" customWidth="1"/>
    <col min="7426" max="7426" width="52.28515625" style="1207" customWidth="1"/>
    <col min="7427" max="7431" width="20.28515625" style="1207" customWidth="1"/>
    <col min="7432" max="7432" width="23" style="1207" customWidth="1"/>
    <col min="7433" max="7435" width="20.28515625" style="1207" customWidth="1"/>
    <col min="7436" max="7436" width="20" style="1207" customWidth="1"/>
    <col min="7437" max="7438" width="15.28515625" style="1207" customWidth="1"/>
    <col min="7439" max="7680" width="11.42578125" style="1207"/>
    <col min="7681" max="7681" width="10.28515625" style="1207" customWidth="1"/>
    <col min="7682" max="7682" width="52.28515625" style="1207" customWidth="1"/>
    <col min="7683" max="7687" width="20.28515625" style="1207" customWidth="1"/>
    <col min="7688" max="7688" width="23" style="1207" customWidth="1"/>
    <col min="7689" max="7691" width="20.28515625" style="1207" customWidth="1"/>
    <col min="7692" max="7692" width="20" style="1207" customWidth="1"/>
    <col min="7693" max="7694" width="15.28515625" style="1207" customWidth="1"/>
    <col min="7695" max="7936" width="11.42578125" style="1207"/>
    <col min="7937" max="7937" width="10.28515625" style="1207" customWidth="1"/>
    <col min="7938" max="7938" width="52.28515625" style="1207" customWidth="1"/>
    <col min="7939" max="7943" width="20.28515625" style="1207" customWidth="1"/>
    <col min="7944" max="7944" width="23" style="1207" customWidth="1"/>
    <col min="7945" max="7947" width="20.28515625" style="1207" customWidth="1"/>
    <col min="7948" max="7948" width="20" style="1207" customWidth="1"/>
    <col min="7949" max="7950" width="15.28515625" style="1207" customWidth="1"/>
    <col min="7951" max="8192" width="11.42578125" style="1207"/>
    <col min="8193" max="8193" width="10.28515625" style="1207" customWidth="1"/>
    <col min="8194" max="8194" width="52.28515625" style="1207" customWidth="1"/>
    <col min="8195" max="8199" width="20.28515625" style="1207" customWidth="1"/>
    <col min="8200" max="8200" width="23" style="1207" customWidth="1"/>
    <col min="8201" max="8203" width="20.28515625" style="1207" customWidth="1"/>
    <col min="8204" max="8204" width="20" style="1207" customWidth="1"/>
    <col min="8205" max="8206" width="15.28515625" style="1207" customWidth="1"/>
    <col min="8207" max="8448" width="11.42578125" style="1207"/>
    <col min="8449" max="8449" width="10.28515625" style="1207" customWidth="1"/>
    <col min="8450" max="8450" width="52.28515625" style="1207" customWidth="1"/>
    <col min="8451" max="8455" width="20.28515625" style="1207" customWidth="1"/>
    <col min="8456" max="8456" width="23" style="1207" customWidth="1"/>
    <col min="8457" max="8459" width="20.28515625" style="1207" customWidth="1"/>
    <col min="8460" max="8460" width="20" style="1207" customWidth="1"/>
    <col min="8461" max="8462" width="15.28515625" style="1207" customWidth="1"/>
    <col min="8463" max="8704" width="11.42578125" style="1207"/>
    <col min="8705" max="8705" width="10.28515625" style="1207" customWidth="1"/>
    <col min="8706" max="8706" width="52.28515625" style="1207" customWidth="1"/>
    <col min="8707" max="8711" width="20.28515625" style="1207" customWidth="1"/>
    <col min="8712" max="8712" width="23" style="1207" customWidth="1"/>
    <col min="8713" max="8715" width="20.28515625" style="1207" customWidth="1"/>
    <col min="8716" max="8716" width="20" style="1207" customWidth="1"/>
    <col min="8717" max="8718" width="15.28515625" style="1207" customWidth="1"/>
    <col min="8719" max="8960" width="11.42578125" style="1207"/>
    <col min="8961" max="8961" width="10.28515625" style="1207" customWidth="1"/>
    <col min="8962" max="8962" width="52.28515625" style="1207" customWidth="1"/>
    <col min="8963" max="8967" width="20.28515625" style="1207" customWidth="1"/>
    <col min="8968" max="8968" width="23" style="1207" customWidth="1"/>
    <col min="8969" max="8971" width="20.28515625" style="1207" customWidth="1"/>
    <col min="8972" max="8972" width="20" style="1207" customWidth="1"/>
    <col min="8973" max="8974" width="15.28515625" style="1207" customWidth="1"/>
    <col min="8975" max="9216" width="11.42578125" style="1207"/>
    <col min="9217" max="9217" width="10.28515625" style="1207" customWidth="1"/>
    <col min="9218" max="9218" width="52.28515625" style="1207" customWidth="1"/>
    <col min="9219" max="9223" width="20.28515625" style="1207" customWidth="1"/>
    <col min="9224" max="9224" width="23" style="1207" customWidth="1"/>
    <col min="9225" max="9227" width="20.28515625" style="1207" customWidth="1"/>
    <col min="9228" max="9228" width="20" style="1207" customWidth="1"/>
    <col min="9229" max="9230" width="15.28515625" style="1207" customWidth="1"/>
    <col min="9231" max="9472" width="11.42578125" style="1207"/>
    <col min="9473" max="9473" width="10.28515625" style="1207" customWidth="1"/>
    <col min="9474" max="9474" width="52.28515625" style="1207" customWidth="1"/>
    <col min="9475" max="9479" width="20.28515625" style="1207" customWidth="1"/>
    <col min="9480" max="9480" width="23" style="1207" customWidth="1"/>
    <col min="9481" max="9483" width="20.28515625" style="1207" customWidth="1"/>
    <col min="9484" max="9484" width="20" style="1207" customWidth="1"/>
    <col min="9485" max="9486" width="15.28515625" style="1207" customWidth="1"/>
    <col min="9487" max="9728" width="11.42578125" style="1207"/>
    <col min="9729" max="9729" width="10.28515625" style="1207" customWidth="1"/>
    <col min="9730" max="9730" width="52.28515625" style="1207" customWidth="1"/>
    <col min="9731" max="9735" width="20.28515625" style="1207" customWidth="1"/>
    <col min="9736" max="9736" width="23" style="1207" customWidth="1"/>
    <col min="9737" max="9739" width="20.28515625" style="1207" customWidth="1"/>
    <col min="9740" max="9740" width="20" style="1207" customWidth="1"/>
    <col min="9741" max="9742" width="15.28515625" style="1207" customWidth="1"/>
    <col min="9743" max="9984" width="11.42578125" style="1207"/>
    <col min="9985" max="9985" width="10.28515625" style="1207" customWidth="1"/>
    <col min="9986" max="9986" width="52.28515625" style="1207" customWidth="1"/>
    <col min="9987" max="9991" width="20.28515625" style="1207" customWidth="1"/>
    <col min="9992" max="9992" width="23" style="1207" customWidth="1"/>
    <col min="9993" max="9995" width="20.28515625" style="1207" customWidth="1"/>
    <col min="9996" max="9996" width="20" style="1207" customWidth="1"/>
    <col min="9997" max="9998" width="15.28515625" style="1207" customWidth="1"/>
    <col min="9999" max="10240" width="11.42578125" style="1207"/>
    <col min="10241" max="10241" width="10.28515625" style="1207" customWidth="1"/>
    <col min="10242" max="10242" width="52.28515625" style="1207" customWidth="1"/>
    <col min="10243" max="10247" width="20.28515625" style="1207" customWidth="1"/>
    <col min="10248" max="10248" width="23" style="1207" customWidth="1"/>
    <col min="10249" max="10251" width="20.28515625" style="1207" customWidth="1"/>
    <col min="10252" max="10252" width="20" style="1207" customWidth="1"/>
    <col min="10253" max="10254" width="15.28515625" style="1207" customWidth="1"/>
    <col min="10255" max="10496" width="11.42578125" style="1207"/>
    <col min="10497" max="10497" width="10.28515625" style="1207" customWidth="1"/>
    <col min="10498" max="10498" width="52.28515625" style="1207" customWidth="1"/>
    <col min="10499" max="10503" width="20.28515625" style="1207" customWidth="1"/>
    <col min="10504" max="10504" width="23" style="1207" customWidth="1"/>
    <col min="10505" max="10507" width="20.28515625" style="1207" customWidth="1"/>
    <col min="10508" max="10508" width="20" style="1207" customWidth="1"/>
    <col min="10509" max="10510" width="15.28515625" style="1207" customWidth="1"/>
    <col min="10511" max="10752" width="11.42578125" style="1207"/>
    <col min="10753" max="10753" width="10.28515625" style="1207" customWidth="1"/>
    <col min="10754" max="10754" width="52.28515625" style="1207" customWidth="1"/>
    <col min="10755" max="10759" width="20.28515625" style="1207" customWidth="1"/>
    <col min="10760" max="10760" width="23" style="1207" customWidth="1"/>
    <col min="10761" max="10763" width="20.28515625" style="1207" customWidth="1"/>
    <col min="10764" max="10764" width="20" style="1207" customWidth="1"/>
    <col min="10765" max="10766" width="15.28515625" style="1207" customWidth="1"/>
    <col min="10767" max="11008" width="11.42578125" style="1207"/>
    <col min="11009" max="11009" width="10.28515625" style="1207" customWidth="1"/>
    <col min="11010" max="11010" width="52.28515625" style="1207" customWidth="1"/>
    <col min="11011" max="11015" width="20.28515625" style="1207" customWidth="1"/>
    <col min="11016" max="11016" width="23" style="1207" customWidth="1"/>
    <col min="11017" max="11019" width="20.28515625" style="1207" customWidth="1"/>
    <col min="11020" max="11020" width="20" style="1207" customWidth="1"/>
    <col min="11021" max="11022" width="15.28515625" style="1207" customWidth="1"/>
    <col min="11023" max="11264" width="11.42578125" style="1207"/>
    <col min="11265" max="11265" width="10.28515625" style="1207" customWidth="1"/>
    <col min="11266" max="11266" width="52.28515625" style="1207" customWidth="1"/>
    <col min="11267" max="11271" width="20.28515625" style="1207" customWidth="1"/>
    <col min="11272" max="11272" width="23" style="1207" customWidth="1"/>
    <col min="11273" max="11275" width="20.28515625" style="1207" customWidth="1"/>
    <col min="11276" max="11276" width="20" style="1207" customWidth="1"/>
    <col min="11277" max="11278" width="15.28515625" style="1207" customWidth="1"/>
    <col min="11279" max="11520" width="11.42578125" style="1207"/>
    <col min="11521" max="11521" width="10.28515625" style="1207" customWidth="1"/>
    <col min="11522" max="11522" width="52.28515625" style="1207" customWidth="1"/>
    <col min="11523" max="11527" width="20.28515625" style="1207" customWidth="1"/>
    <col min="11528" max="11528" width="23" style="1207" customWidth="1"/>
    <col min="11529" max="11531" width="20.28515625" style="1207" customWidth="1"/>
    <col min="11532" max="11532" width="20" style="1207" customWidth="1"/>
    <col min="11533" max="11534" width="15.28515625" style="1207" customWidth="1"/>
    <col min="11535" max="11776" width="11.42578125" style="1207"/>
    <col min="11777" max="11777" width="10.28515625" style="1207" customWidth="1"/>
    <col min="11778" max="11778" width="52.28515625" style="1207" customWidth="1"/>
    <col min="11779" max="11783" width="20.28515625" style="1207" customWidth="1"/>
    <col min="11784" max="11784" width="23" style="1207" customWidth="1"/>
    <col min="11785" max="11787" width="20.28515625" style="1207" customWidth="1"/>
    <col min="11788" max="11788" width="20" style="1207" customWidth="1"/>
    <col min="11789" max="11790" width="15.28515625" style="1207" customWidth="1"/>
    <col min="11791" max="12032" width="11.42578125" style="1207"/>
    <col min="12033" max="12033" width="10.28515625" style="1207" customWidth="1"/>
    <col min="12034" max="12034" width="52.28515625" style="1207" customWidth="1"/>
    <col min="12035" max="12039" width="20.28515625" style="1207" customWidth="1"/>
    <col min="12040" max="12040" width="23" style="1207" customWidth="1"/>
    <col min="12041" max="12043" width="20.28515625" style="1207" customWidth="1"/>
    <col min="12044" max="12044" width="20" style="1207" customWidth="1"/>
    <col min="12045" max="12046" width="15.28515625" style="1207" customWidth="1"/>
    <col min="12047" max="12288" width="11.42578125" style="1207"/>
    <col min="12289" max="12289" width="10.28515625" style="1207" customWidth="1"/>
    <col min="12290" max="12290" width="52.28515625" style="1207" customWidth="1"/>
    <col min="12291" max="12295" width="20.28515625" style="1207" customWidth="1"/>
    <col min="12296" max="12296" width="23" style="1207" customWidth="1"/>
    <col min="12297" max="12299" width="20.28515625" style="1207" customWidth="1"/>
    <col min="12300" max="12300" width="20" style="1207" customWidth="1"/>
    <col min="12301" max="12302" width="15.28515625" style="1207" customWidth="1"/>
    <col min="12303" max="12544" width="11.42578125" style="1207"/>
    <col min="12545" max="12545" width="10.28515625" style="1207" customWidth="1"/>
    <col min="12546" max="12546" width="52.28515625" style="1207" customWidth="1"/>
    <col min="12547" max="12551" width="20.28515625" style="1207" customWidth="1"/>
    <col min="12552" max="12552" width="23" style="1207" customWidth="1"/>
    <col min="12553" max="12555" width="20.28515625" style="1207" customWidth="1"/>
    <col min="12556" max="12556" width="20" style="1207" customWidth="1"/>
    <col min="12557" max="12558" width="15.28515625" style="1207" customWidth="1"/>
    <col min="12559" max="12800" width="11.42578125" style="1207"/>
    <col min="12801" max="12801" width="10.28515625" style="1207" customWidth="1"/>
    <col min="12802" max="12802" width="52.28515625" style="1207" customWidth="1"/>
    <col min="12803" max="12807" width="20.28515625" style="1207" customWidth="1"/>
    <col min="12808" max="12808" width="23" style="1207" customWidth="1"/>
    <col min="12809" max="12811" width="20.28515625" style="1207" customWidth="1"/>
    <col min="12812" max="12812" width="20" style="1207" customWidth="1"/>
    <col min="12813" max="12814" width="15.28515625" style="1207" customWidth="1"/>
    <col min="12815" max="13056" width="11.42578125" style="1207"/>
    <col min="13057" max="13057" width="10.28515625" style="1207" customWidth="1"/>
    <col min="13058" max="13058" width="52.28515625" style="1207" customWidth="1"/>
    <col min="13059" max="13063" width="20.28515625" style="1207" customWidth="1"/>
    <col min="13064" max="13064" width="23" style="1207" customWidth="1"/>
    <col min="13065" max="13067" width="20.28515625" style="1207" customWidth="1"/>
    <col min="13068" max="13068" width="20" style="1207" customWidth="1"/>
    <col min="13069" max="13070" width="15.28515625" style="1207" customWidth="1"/>
    <col min="13071" max="13312" width="11.42578125" style="1207"/>
    <col min="13313" max="13313" width="10.28515625" style="1207" customWidth="1"/>
    <col min="13314" max="13314" width="52.28515625" style="1207" customWidth="1"/>
    <col min="13315" max="13319" width="20.28515625" style="1207" customWidth="1"/>
    <col min="13320" max="13320" width="23" style="1207" customWidth="1"/>
    <col min="13321" max="13323" width="20.28515625" style="1207" customWidth="1"/>
    <col min="13324" max="13324" width="20" style="1207" customWidth="1"/>
    <col min="13325" max="13326" width="15.28515625" style="1207" customWidth="1"/>
    <col min="13327" max="13568" width="11.42578125" style="1207"/>
    <col min="13569" max="13569" width="10.28515625" style="1207" customWidth="1"/>
    <col min="13570" max="13570" width="52.28515625" style="1207" customWidth="1"/>
    <col min="13571" max="13575" width="20.28515625" style="1207" customWidth="1"/>
    <col min="13576" max="13576" width="23" style="1207" customWidth="1"/>
    <col min="13577" max="13579" width="20.28515625" style="1207" customWidth="1"/>
    <col min="13580" max="13580" width="20" style="1207" customWidth="1"/>
    <col min="13581" max="13582" width="15.28515625" style="1207" customWidth="1"/>
    <col min="13583" max="13824" width="11.42578125" style="1207"/>
    <col min="13825" max="13825" width="10.28515625" style="1207" customWidth="1"/>
    <col min="13826" max="13826" width="52.28515625" style="1207" customWidth="1"/>
    <col min="13827" max="13831" width="20.28515625" style="1207" customWidth="1"/>
    <col min="13832" max="13832" width="23" style="1207" customWidth="1"/>
    <col min="13833" max="13835" width="20.28515625" style="1207" customWidth="1"/>
    <col min="13836" max="13836" width="20" style="1207" customWidth="1"/>
    <col min="13837" max="13838" width="15.28515625" style="1207" customWidth="1"/>
    <col min="13839" max="14080" width="11.42578125" style="1207"/>
    <col min="14081" max="14081" width="10.28515625" style="1207" customWidth="1"/>
    <col min="14082" max="14082" width="52.28515625" style="1207" customWidth="1"/>
    <col min="14083" max="14087" width="20.28515625" style="1207" customWidth="1"/>
    <col min="14088" max="14088" width="23" style="1207" customWidth="1"/>
    <col min="14089" max="14091" width="20.28515625" style="1207" customWidth="1"/>
    <col min="14092" max="14092" width="20" style="1207" customWidth="1"/>
    <col min="14093" max="14094" width="15.28515625" style="1207" customWidth="1"/>
    <col min="14095" max="14336" width="11.42578125" style="1207"/>
    <col min="14337" max="14337" width="10.28515625" style="1207" customWidth="1"/>
    <col min="14338" max="14338" width="52.28515625" style="1207" customWidth="1"/>
    <col min="14339" max="14343" width="20.28515625" style="1207" customWidth="1"/>
    <col min="14344" max="14344" width="23" style="1207" customWidth="1"/>
    <col min="14345" max="14347" width="20.28515625" style="1207" customWidth="1"/>
    <col min="14348" max="14348" width="20" style="1207" customWidth="1"/>
    <col min="14349" max="14350" width="15.28515625" style="1207" customWidth="1"/>
    <col min="14351" max="14592" width="11.42578125" style="1207"/>
    <col min="14593" max="14593" width="10.28515625" style="1207" customWidth="1"/>
    <col min="14594" max="14594" width="52.28515625" style="1207" customWidth="1"/>
    <col min="14595" max="14599" width="20.28515625" style="1207" customWidth="1"/>
    <col min="14600" max="14600" width="23" style="1207" customWidth="1"/>
    <col min="14601" max="14603" width="20.28515625" style="1207" customWidth="1"/>
    <col min="14604" max="14604" width="20" style="1207" customWidth="1"/>
    <col min="14605" max="14606" width="15.28515625" style="1207" customWidth="1"/>
    <col min="14607" max="14848" width="11.42578125" style="1207"/>
    <col min="14849" max="14849" width="10.28515625" style="1207" customWidth="1"/>
    <col min="14850" max="14850" width="52.28515625" style="1207" customWidth="1"/>
    <col min="14851" max="14855" width="20.28515625" style="1207" customWidth="1"/>
    <col min="14856" max="14856" width="23" style="1207" customWidth="1"/>
    <col min="14857" max="14859" width="20.28515625" style="1207" customWidth="1"/>
    <col min="14860" max="14860" width="20" style="1207" customWidth="1"/>
    <col min="14861" max="14862" width="15.28515625" style="1207" customWidth="1"/>
    <col min="14863" max="15104" width="11.42578125" style="1207"/>
    <col min="15105" max="15105" width="10.28515625" style="1207" customWidth="1"/>
    <col min="15106" max="15106" width="52.28515625" style="1207" customWidth="1"/>
    <col min="15107" max="15111" width="20.28515625" style="1207" customWidth="1"/>
    <col min="15112" max="15112" width="23" style="1207" customWidth="1"/>
    <col min="15113" max="15115" width="20.28515625" style="1207" customWidth="1"/>
    <col min="15116" max="15116" width="20" style="1207" customWidth="1"/>
    <col min="15117" max="15118" width="15.28515625" style="1207" customWidth="1"/>
    <col min="15119" max="15360" width="11.42578125" style="1207"/>
    <col min="15361" max="15361" width="10.28515625" style="1207" customWidth="1"/>
    <col min="15362" max="15362" width="52.28515625" style="1207" customWidth="1"/>
    <col min="15363" max="15367" width="20.28515625" style="1207" customWidth="1"/>
    <col min="15368" max="15368" width="23" style="1207" customWidth="1"/>
    <col min="15369" max="15371" width="20.28515625" style="1207" customWidth="1"/>
    <col min="15372" max="15372" width="20" style="1207" customWidth="1"/>
    <col min="15373" max="15374" width="15.28515625" style="1207" customWidth="1"/>
    <col min="15375" max="15616" width="11.42578125" style="1207"/>
    <col min="15617" max="15617" width="10.28515625" style="1207" customWidth="1"/>
    <col min="15618" max="15618" width="52.28515625" style="1207" customWidth="1"/>
    <col min="15619" max="15623" width="20.28515625" style="1207" customWidth="1"/>
    <col min="15624" max="15624" width="23" style="1207" customWidth="1"/>
    <col min="15625" max="15627" width="20.28515625" style="1207" customWidth="1"/>
    <col min="15628" max="15628" width="20" style="1207" customWidth="1"/>
    <col min="15629" max="15630" width="15.28515625" style="1207" customWidth="1"/>
    <col min="15631" max="15872" width="11.42578125" style="1207"/>
    <col min="15873" max="15873" width="10.28515625" style="1207" customWidth="1"/>
    <col min="15874" max="15874" width="52.28515625" style="1207" customWidth="1"/>
    <col min="15875" max="15879" width="20.28515625" style="1207" customWidth="1"/>
    <col min="15880" max="15880" width="23" style="1207" customWidth="1"/>
    <col min="15881" max="15883" width="20.28515625" style="1207" customWidth="1"/>
    <col min="15884" max="15884" width="20" style="1207" customWidth="1"/>
    <col min="15885" max="15886" width="15.28515625" style="1207" customWidth="1"/>
    <col min="15887" max="16128" width="11.42578125" style="1207"/>
    <col min="16129" max="16129" width="10.28515625" style="1207" customWidth="1"/>
    <col min="16130" max="16130" width="52.28515625" style="1207" customWidth="1"/>
    <col min="16131" max="16135" width="20.28515625" style="1207" customWidth="1"/>
    <col min="16136" max="16136" width="23" style="1207" customWidth="1"/>
    <col min="16137" max="16139" width="20.28515625" style="1207" customWidth="1"/>
    <col min="16140" max="16140" width="20" style="1207" customWidth="1"/>
    <col min="16141" max="16142" width="15.28515625" style="1207" customWidth="1"/>
    <col min="16143" max="16384" width="11.42578125" style="1207"/>
  </cols>
  <sheetData>
    <row r="1" spans="1:22" ht="15">
      <c r="A1" s="1160"/>
      <c r="B1" s="1161"/>
      <c r="C1" s="1161"/>
      <c r="D1" s="1161"/>
      <c r="E1" s="1162"/>
      <c r="F1" s="1163"/>
      <c r="G1" s="1163"/>
      <c r="H1" s="1163"/>
      <c r="I1" s="1163"/>
      <c r="J1" s="1163"/>
      <c r="K1" s="1163"/>
      <c r="L1" s="1163"/>
      <c r="M1" s="1163"/>
    </row>
    <row r="2" spans="1:22" ht="15">
      <c r="A2" s="2192" t="str">
        <f>+'OKT TCOS'!F4</f>
        <v xml:space="preserve">AEP West SPP Member Transmission Companies </v>
      </c>
      <c r="B2" s="2192"/>
      <c r="C2" s="2192"/>
      <c r="D2" s="2192"/>
      <c r="E2" s="2192"/>
      <c r="F2" s="2192"/>
      <c r="G2" s="2192"/>
      <c r="H2" s="2192"/>
      <c r="I2" s="275"/>
      <c r="J2" s="275"/>
      <c r="K2" s="275"/>
      <c r="L2" s="275"/>
      <c r="M2" s="275"/>
    </row>
    <row r="3" spans="1:22" ht="15">
      <c r="A3" s="2186" t="str">
        <f>+'OKT WS A-1 - Plant'!A3</f>
        <v xml:space="preserve">Actual / Projected 2022 Rate Year Cost of Service Formula Rate </v>
      </c>
      <c r="B3" s="2186"/>
      <c r="C3" s="2186"/>
      <c r="D3" s="2186"/>
      <c r="E3" s="2186"/>
      <c r="F3" s="2186"/>
      <c r="G3" s="2186"/>
      <c r="H3" s="2186"/>
      <c r="I3" s="419"/>
      <c r="J3" s="419"/>
      <c r="K3" s="419"/>
      <c r="L3" s="419"/>
      <c r="M3" s="419"/>
    </row>
    <row r="4" spans="1:22" ht="15.75">
      <c r="A4" s="2187" t="s">
        <v>867</v>
      </c>
      <c r="B4" s="2187"/>
      <c r="C4" s="2187"/>
      <c r="D4" s="2187"/>
      <c r="E4" s="2187"/>
      <c r="F4" s="2187"/>
      <c r="G4" s="2187"/>
      <c r="H4" s="2187"/>
      <c r="I4" s="419"/>
      <c r="J4" s="419"/>
      <c r="K4" s="419"/>
      <c r="L4" s="419"/>
      <c r="M4" s="419"/>
    </row>
    <row r="5" spans="1:22" ht="15.75">
      <c r="A5" s="2193" t="str">
        <f>+'OKT TCOS'!F8</f>
        <v>AEP OKLAHOMA TRANSMISSION COMPANY, INC.</v>
      </c>
      <c r="B5" s="2193"/>
      <c r="C5" s="2193"/>
      <c r="D5" s="2193"/>
      <c r="E5" s="2193"/>
      <c r="F5" s="2193"/>
      <c r="G5" s="2193"/>
      <c r="H5" s="2193"/>
      <c r="I5" s="479"/>
      <c r="J5" s="479"/>
      <c r="K5" s="479"/>
      <c r="L5" s="479"/>
      <c r="M5" s="479"/>
    </row>
    <row r="6" spans="1:22">
      <c r="A6" s="1208"/>
      <c r="B6" s="1209"/>
      <c r="C6"/>
      <c r="D6"/>
      <c r="E6"/>
      <c r="F6"/>
      <c r="H6" s="30"/>
      <c r="I6" s="30"/>
      <c r="J6" s="30"/>
      <c r="K6" s="30"/>
      <c r="L6" s="30"/>
    </row>
    <row r="7" spans="1:22" ht="12.75" customHeight="1">
      <c r="A7" s="1210"/>
      <c r="B7" s="1211"/>
      <c r="C7" s="2273" t="s">
        <v>172</v>
      </c>
      <c r="D7" s="2274"/>
      <c r="E7" s="2274"/>
      <c r="F7" s="2274"/>
      <c r="G7" s="2275"/>
      <c r="H7" s="31"/>
      <c r="I7" s="30"/>
      <c r="J7" s="30"/>
      <c r="K7" s="30"/>
      <c r="L7" s="30"/>
    </row>
    <row r="8" spans="1:22" s="1217" customFormat="1" ht="50.25" customHeight="1">
      <c r="A8" s="1212" t="s">
        <v>693</v>
      </c>
      <c r="B8" s="1213" t="s">
        <v>676</v>
      </c>
      <c r="C8" s="2146" t="s">
        <v>836</v>
      </c>
      <c r="D8" s="2147" t="s">
        <v>837</v>
      </c>
      <c r="E8" s="2147" t="s">
        <v>838</v>
      </c>
      <c r="F8" s="2147" t="s">
        <v>839</v>
      </c>
      <c r="G8" s="1216" t="s">
        <v>172</v>
      </c>
      <c r="H8" s="31"/>
      <c r="I8" s="30"/>
      <c r="J8" s="30"/>
      <c r="K8" s="30"/>
      <c r="L8" s="30"/>
    </row>
    <row r="9" spans="1:22" s="1223" customFormat="1">
      <c r="A9" s="1218"/>
      <c r="B9" s="1219" t="s">
        <v>702</v>
      </c>
      <c r="C9" s="2153" t="s">
        <v>703</v>
      </c>
      <c r="D9" s="1221" t="s">
        <v>704</v>
      </c>
      <c r="E9" s="1221" t="s">
        <v>705</v>
      </c>
      <c r="F9" s="1221" t="s">
        <v>706</v>
      </c>
      <c r="G9" s="1222" t="s">
        <v>840</v>
      </c>
      <c r="H9" s="31"/>
      <c r="I9" s="30"/>
      <c r="J9" s="30"/>
      <c r="K9" s="30"/>
      <c r="L9" s="30"/>
    </row>
    <row r="10" spans="1:22" s="1223" customFormat="1" ht="44.25" customHeight="1">
      <c r="A10" s="1218"/>
      <c r="B10" s="1219" t="s">
        <v>841</v>
      </c>
      <c r="C10" s="1224" t="s">
        <v>842</v>
      </c>
      <c r="D10" s="1225" t="s">
        <v>843</v>
      </c>
      <c r="E10" s="1225" t="s">
        <v>844</v>
      </c>
      <c r="F10" s="1225" t="s">
        <v>845</v>
      </c>
      <c r="G10" s="1226"/>
      <c r="H10" s="31"/>
      <c r="I10" s="30"/>
      <c r="J10" s="30"/>
      <c r="K10" s="30"/>
      <c r="L10" s="30"/>
    </row>
    <row r="11" spans="1:22">
      <c r="A11" s="1218">
        <v>1</v>
      </c>
      <c r="B11" s="1227" t="s">
        <v>712</v>
      </c>
      <c r="C11" s="569">
        <v>614475273.50099993</v>
      </c>
      <c r="D11" s="569">
        <v>0</v>
      </c>
      <c r="E11" s="569">
        <v>0</v>
      </c>
      <c r="F11" s="569">
        <v>0</v>
      </c>
      <c r="G11" s="1228">
        <f t="shared" ref="G11:G23" si="0">+C11-D11-E11-F11</f>
        <v>614475273.50099993</v>
      </c>
      <c r="H11" s="31"/>
      <c r="I11" s="131"/>
      <c r="J11" s="131"/>
      <c r="K11" s="131"/>
      <c r="L11" s="131"/>
      <c r="M11" s="131"/>
      <c r="N11" s="131"/>
      <c r="O11" s="131"/>
      <c r="P11" s="131"/>
      <c r="Q11" s="131"/>
      <c r="R11" s="131"/>
      <c r="S11" s="131"/>
      <c r="T11" s="131"/>
      <c r="U11" s="131"/>
      <c r="V11" s="131"/>
    </row>
    <row r="12" spans="1:22">
      <c r="A12" s="1218">
        <f t="shared" ref="A12:A24" si="1">+A11+1</f>
        <v>2</v>
      </c>
      <c r="B12" s="1227" t="s">
        <v>319</v>
      </c>
      <c r="C12" s="569">
        <v>620875918.92099977</v>
      </c>
      <c r="D12" s="569"/>
      <c r="E12" s="569"/>
      <c r="F12" s="569"/>
      <c r="G12" s="1228">
        <f t="shared" si="0"/>
        <v>620875918.92099977</v>
      </c>
      <c r="H12" s="31"/>
      <c r="I12" s="30"/>
      <c r="J12" s="30"/>
      <c r="K12" s="30"/>
      <c r="L12" s="30"/>
    </row>
    <row r="13" spans="1:22">
      <c r="A13" s="1218">
        <f t="shared" si="1"/>
        <v>3</v>
      </c>
      <c r="B13" s="1229" t="s">
        <v>512</v>
      </c>
      <c r="C13" s="569">
        <v>627165366.79599977</v>
      </c>
      <c r="D13" s="569"/>
      <c r="E13" s="569"/>
      <c r="F13" s="569"/>
      <c r="G13" s="1228">
        <f t="shared" si="0"/>
        <v>627165366.79599977</v>
      </c>
      <c r="H13" s="31"/>
      <c r="I13" s="30"/>
      <c r="J13" s="30"/>
      <c r="K13" s="30"/>
      <c r="L13" s="30"/>
    </row>
    <row r="14" spans="1:22">
      <c r="A14" s="1218">
        <f t="shared" si="1"/>
        <v>4</v>
      </c>
      <c r="B14" s="1229" t="s">
        <v>713</v>
      </c>
      <c r="C14" s="569">
        <v>631445622.602</v>
      </c>
      <c r="D14" s="569"/>
      <c r="E14" s="569"/>
      <c r="F14" s="569"/>
      <c r="G14" s="1228">
        <f t="shared" si="0"/>
        <v>631445622.602</v>
      </c>
      <c r="H14" s="31"/>
      <c r="I14" s="30"/>
      <c r="J14" s="30"/>
      <c r="K14" s="30"/>
      <c r="L14" s="30"/>
    </row>
    <row r="15" spans="1:22">
      <c r="A15" s="1218">
        <f t="shared" si="1"/>
        <v>5</v>
      </c>
      <c r="B15" s="1229" t="s">
        <v>321</v>
      </c>
      <c r="C15" s="569">
        <v>635433807.49699998</v>
      </c>
      <c r="D15" s="569"/>
      <c r="E15" s="569"/>
      <c r="F15" s="569"/>
      <c r="G15" s="1228">
        <f t="shared" si="0"/>
        <v>635433807.49699998</v>
      </c>
      <c r="H15" s="31"/>
      <c r="I15" s="30"/>
      <c r="J15" s="30"/>
      <c r="K15" s="30"/>
      <c r="L15" s="30"/>
    </row>
    <row r="16" spans="1:22">
      <c r="A16" s="1218">
        <f t="shared" si="1"/>
        <v>6</v>
      </c>
      <c r="B16" s="1229" t="s">
        <v>322</v>
      </c>
      <c r="C16" s="569">
        <v>631804605.82999992</v>
      </c>
      <c r="D16" s="569"/>
      <c r="E16" s="569"/>
      <c r="F16" s="569"/>
      <c r="G16" s="1228">
        <f t="shared" si="0"/>
        <v>631804605.82999992</v>
      </c>
      <c r="H16" s="31"/>
      <c r="I16" s="30"/>
      <c r="J16" s="30"/>
      <c r="K16" s="30"/>
      <c r="L16" s="30"/>
    </row>
    <row r="17" spans="1:23">
      <c r="A17" s="1218">
        <f t="shared" si="1"/>
        <v>7</v>
      </c>
      <c r="B17" s="1229" t="s">
        <v>48</v>
      </c>
      <c r="C17" s="569">
        <v>635270811.96800005</v>
      </c>
      <c r="D17" s="569"/>
      <c r="E17" s="569"/>
      <c r="F17" s="569"/>
      <c r="G17" s="1228">
        <f t="shared" si="0"/>
        <v>635270811.96800005</v>
      </c>
      <c r="H17" s="31"/>
      <c r="I17" s="30"/>
      <c r="J17" s="30"/>
      <c r="K17" s="30"/>
      <c r="L17" s="30"/>
    </row>
    <row r="18" spans="1:23">
      <c r="A18" s="1218">
        <f t="shared" si="1"/>
        <v>8</v>
      </c>
      <c r="B18" s="1229" t="s">
        <v>323</v>
      </c>
      <c r="C18" s="569">
        <v>644125849.38600004</v>
      </c>
      <c r="D18" s="569"/>
      <c r="E18" s="569"/>
      <c r="F18" s="569"/>
      <c r="G18" s="1228">
        <f t="shared" si="0"/>
        <v>644125849.38600004</v>
      </c>
      <c r="H18" s="31"/>
      <c r="I18" s="30"/>
      <c r="J18" s="30"/>
      <c r="K18" s="30"/>
      <c r="L18" s="30"/>
    </row>
    <row r="19" spans="1:23">
      <c r="A19" s="1218">
        <f t="shared" si="1"/>
        <v>9</v>
      </c>
      <c r="B19" s="1229" t="s">
        <v>714</v>
      </c>
      <c r="C19" s="569">
        <v>642269376.38899994</v>
      </c>
      <c r="D19" s="569"/>
      <c r="E19" s="569"/>
      <c r="F19" s="569"/>
      <c r="G19" s="1228">
        <f t="shared" si="0"/>
        <v>642269376.38899994</v>
      </c>
      <c r="H19" s="31"/>
      <c r="I19" s="30"/>
      <c r="J19" s="30"/>
      <c r="K19" s="30"/>
      <c r="L19" s="30"/>
    </row>
    <row r="20" spans="1:23">
      <c r="A20" s="1218">
        <f t="shared" si="1"/>
        <v>10</v>
      </c>
      <c r="B20" s="1229" t="s">
        <v>326</v>
      </c>
      <c r="C20" s="569">
        <v>650954042.21599984</v>
      </c>
      <c r="D20" s="569"/>
      <c r="E20" s="569"/>
      <c r="F20" s="569"/>
      <c r="G20" s="1228">
        <f t="shared" si="0"/>
        <v>650954042.21599984</v>
      </c>
      <c r="H20" s="31"/>
      <c r="I20" s="30"/>
      <c r="J20" s="30"/>
      <c r="K20" s="30"/>
      <c r="L20" s="30"/>
    </row>
    <row r="21" spans="1:23">
      <c r="A21" s="1218">
        <f t="shared" si="1"/>
        <v>11</v>
      </c>
      <c r="B21" s="1229" t="s">
        <v>513</v>
      </c>
      <c r="C21" s="569">
        <v>655678949.6880002</v>
      </c>
      <c r="D21" s="569"/>
      <c r="E21" s="569"/>
      <c r="F21" s="569"/>
      <c r="G21" s="1228">
        <f t="shared" si="0"/>
        <v>655678949.6880002</v>
      </c>
      <c r="H21" s="31"/>
      <c r="I21" s="30"/>
      <c r="J21" s="30"/>
      <c r="K21" s="30"/>
      <c r="L21" s="30"/>
    </row>
    <row r="22" spans="1:23">
      <c r="A22" s="1218">
        <f t="shared" si="1"/>
        <v>12</v>
      </c>
      <c r="B22" s="1229" t="s">
        <v>514</v>
      </c>
      <c r="C22" s="569">
        <v>649869368.61800003</v>
      </c>
      <c r="D22" s="569"/>
      <c r="E22" s="569"/>
      <c r="F22" s="569"/>
      <c r="G22" s="1228">
        <f t="shared" si="0"/>
        <v>649869368.61800003</v>
      </c>
      <c r="H22" s="31"/>
      <c r="I22" s="30"/>
      <c r="J22" s="30"/>
      <c r="K22" s="30"/>
      <c r="L22" s="30"/>
    </row>
    <row r="23" spans="1:23">
      <c r="A23" s="1230">
        <f t="shared" si="1"/>
        <v>13</v>
      </c>
      <c r="B23" s="1231" t="s">
        <v>715</v>
      </c>
      <c r="C23" s="569">
        <v>655847705.24799991</v>
      </c>
      <c r="D23" s="569">
        <v>0</v>
      </c>
      <c r="E23" s="569">
        <v>0</v>
      </c>
      <c r="F23" s="569">
        <v>0</v>
      </c>
      <c r="G23" s="1228">
        <f t="shared" si="0"/>
        <v>655847705.24799991</v>
      </c>
      <c r="H23" s="31"/>
      <c r="I23" s="30"/>
      <c r="J23" s="30"/>
      <c r="K23" s="30"/>
      <c r="L23" s="30"/>
    </row>
    <row r="24" spans="1:23" ht="13.5" thickBot="1">
      <c r="A24" s="1232">
        <f t="shared" si="1"/>
        <v>14</v>
      </c>
      <c r="B24" s="1900" t="s">
        <v>1012</v>
      </c>
      <c r="C24" s="1901">
        <f>SUM(C11:C23)/13</f>
        <v>638093592.20461535</v>
      </c>
      <c r="D24" s="1902">
        <f>SUM(D11:D23)/13</f>
        <v>0</v>
      </c>
      <c r="E24" s="1902">
        <f>SUM(E11:E23)/13</f>
        <v>0</v>
      </c>
      <c r="F24" s="1902">
        <f>SUM(F11:F23)/13</f>
        <v>0</v>
      </c>
      <c r="G24" s="1233">
        <f>AVERAGE(G11:G23)</f>
        <v>638093592.20461535</v>
      </c>
      <c r="H24" s="31"/>
      <c r="I24" s="30"/>
      <c r="J24" s="30"/>
      <c r="K24" s="30"/>
      <c r="L24" s="30"/>
    </row>
    <row r="25" spans="1:23" ht="13.5" thickTop="1">
      <c r="A25" s="1210"/>
      <c r="B25" s="1234"/>
      <c r="C25"/>
      <c r="D25"/>
      <c r="E25"/>
      <c r="F25"/>
      <c r="G25" s="2139"/>
      <c r="H25" s="1235"/>
      <c r="I25" s="30"/>
      <c r="J25" s="30"/>
      <c r="K25" s="30"/>
      <c r="L25" s="30"/>
    </row>
    <row r="26" spans="1:23" ht="12.75" customHeight="1">
      <c r="A26" s="1210"/>
      <c r="B26" s="1211"/>
      <c r="C26" s="2276" t="s">
        <v>846</v>
      </c>
      <c r="D26" s="2277"/>
      <c r="E26" s="2277"/>
      <c r="F26" s="2277"/>
      <c r="G26" s="2277"/>
      <c r="H26" s="2278"/>
      <c r="I26" s="30"/>
      <c r="J26" s="30"/>
      <c r="K26" s="30"/>
      <c r="L26" s="30"/>
    </row>
    <row r="27" spans="1:23" s="1217" customFormat="1" ht="38.25">
      <c r="A27" s="1212" t="s">
        <v>693</v>
      </c>
      <c r="B27" s="1213" t="s">
        <v>676</v>
      </c>
      <c r="C27" s="2146" t="s">
        <v>847</v>
      </c>
      <c r="D27" s="2147" t="s">
        <v>848</v>
      </c>
      <c r="E27" s="2147" t="s">
        <v>849</v>
      </c>
      <c r="F27" s="2147" t="s">
        <v>850</v>
      </c>
      <c r="G27" s="2147" t="s">
        <v>851</v>
      </c>
      <c r="H27" s="1216" t="s">
        <v>852</v>
      </c>
      <c r="I27" s="30"/>
      <c r="J27" s="30"/>
      <c r="K27" s="30"/>
      <c r="L27" s="30"/>
    </row>
    <row r="28" spans="1:23" s="1223" customFormat="1">
      <c r="A28" s="1218"/>
      <c r="B28" s="1219" t="s">
        <v>702</v>
      </c>
      <c r="C28" s="1220" t="s">
        <v>703</v>
      </c>
      <c r="D28" s="1221" t="s">
        <v>704</v>
      </c>
      <c r="E28" s="1221" t="s">
        <v>705</v>
      </c>
      <c r="F28" s="1221" t="s">
        <v>706</v>
      </c>
      <c r="G28" s="1221" t="s">
        <v>707</v>
      </c>
      <c r="H28" s="1222" t="s">
        <v>853</v>
      </c>
      <c r="I28" s="30"/>
      <c r="J28" s="30"/>
      <c r="K28" s="30"/>
      <c r="L28" s="30"/>
    </row>
    <row r="29" spans="1:23" s="1223" customFormat="1" ht="44.25" customHeight="1">
      <c r="A29" s="1218"/>
      <c r="B29" s="1219" t="s">
        <v>841</v>
      </c>
      <c r="C29" s="1224" t="s">
        <v>854</v>
      </c>
      <c r="D29" s="1225" t="s">
        <v>855</v>
      </c>
      <c r="E29" s="1225" t="s">
        <v>856</v>
      </c>
      <c r="F29" s="1225" t="s">
        <v>857</v>
      </c>
      <c r="G29" s="1225" t="s">
        <v>858</v>
      </c>
      <c r="H29" s="1236"/>
      <c r="I29" s="30"/>
      <c r="J29" s="30"/>
      <c r="K29" s="30"/>
      <c r="L29" s="30"/>
    </row>
    <row r="30" spans="1:23">
      <c r="A30" s="1218">
        <f>+A24+1</f>
        <v>15</v>
      </c>
      <c r="B30" s="1227" t="s">
        <v>712</v>
      </c>
      <c r="C30" s="569">
        <v>0</v>
      </c>
      <c r="D30" s="569">
        <v>0</v>
      </c>
      <c r="E30" s="569">
        <v>459850000</v>
      </c>
      <c r="F30" s="569">
        <v>0</v>
      </c>
      <c r="G30" s="569">
        <v>0</v>
      </c>
      <c r="H30" s="1228">
        <f t="shared" ref="H30:H42" si="2">+C30-D30+E30+F30-G30</f>
        <v>459850000</v>
      </c>
      <c r="I30" s="30"/>
      <c r="J30" s="131"/>
      <c r="K30" s="131"/>
      <c r="L30" s="131"/>
      <c r="M30" s="131"/>
      <c r="N30" s="131"/>
      <c r="O30" s="131"/>
      <c r="P30" s="131"/>
      <c r="Q30" s="131"/>
      <c r="R30" s="131"/>
      <c r="S30" s="131"/>
      <c r="T30" s="131"/>
      <c r="U30" s="131"/>
      <c r="V30" s="131"/>
      <c r="W30" s="131"/>
    </row>
    <row r="31" spans="1:23">
      <c r="A31" s="1218">
        <f t="shared" ref="A31:A43" si="3">+A30+1</f>
        <v>16</v>
      </c>
      <c r="B31" s="1227" t="s">
        <v>319</v>
      </c>
      <c r="C31" s="569"/>
      <c r="D31" s="569"/>
      <c r="E31" s="569">
        <v>459850000</v>
      </c>
      <c r="F31" s="569"/>
      <c r="G31" s="569"/>
      <c r="H31" s="1228">
        <f t="shared" si="2"/>
        <v>459850000</v>
      </c>
      <c r="I31" s="30"/>
      <c r="J31" s="30"/>
      <c r="K31" s="30"/>
      <c r="L31" s="30"/>
    </row>
    <row r="32" spans="1:23">
      <c r="A32" s="1218">
        <f t="shared" si="3"/>
        <v>17</v>
      </c>
      <c r="B32" s="1229" t="s">
        <v>512</v>
      </c>
      <c r="C32" s="569"/>
      <c r="D32" s="569"/>
      <c r="E32" s="569">
        <v>459850000</v>
      </c>
      <c r="F32" s="569"/>
      <c r="G32" s="569"/>
      <c r="H32" s="1228">
        <f t="shared" si="2"/>
        <v>459850000</v>
      </c>
      <c r="I32" s="30"/>
      <c r="J32" s="30"/>
      <c r="K32" s="30"/>
      <c r="L32" s="30"/>
    </row>
    <row r="33" spans="1:12">
      <c r="A33" s="1218">
        <f t="shared" si="3"/>
        <v>18</v>
      </c>
      <c r="B33" s="1229" t="s">
        <v>713</v>
      </c>
      <c r="C33" s="569"/>
      <c r="D33" s="569"/>
      <c r="E33" s="569">
        <v>459850000</v>
      </c>
      <c r="F33" s="569"/>
      <c r="G33" s="569"/>
      <c r="H33" s="1228">
        <f t="shared" si="2"/>
        <v>459850000</v>
      </c>
      <c r="I33" s="30"/>
      <c r="J33" s="30"/>
      <c r="K33" s="30"/>
      <c r="L33" s="30"/>
    </row>
    <row r="34" spans="1:12">
      <c r="A34" s="1218">
        <f t="shared" si="3"/>
        <v>19</v>
      </c>
      <c r="B34" s="1229" t="s">
        <v>321</v>
      </c>
      <c r="C34" s="569"/>
      <c r="D34" s="569"/>
      <c r="E34" s="569">
        <v>459850000</v>
      </c>
      <c r="F34" s="569"/>
      <c r="G34" s="569"/>
      <c r="H34" s="1228">
        <f t="shared" si="2"/>
        <v>459850000</v>
      </c>
      <c r="I34" s="30"/>
      <c r="J34" s="30"/>
      <c r="K34" s="30"/>
      <c r="L34" s="30"/>
    </row>
    <row r="35" spans="1:12">
      <c r="A35" s="1218">
        <f t="shared" si="3"/>
        <v>20</v>
      </c>
      <c r="B35" s="1229" t="s">
        <v>322</v>
      </c>
      <c r="C35" s="569"/>
      <c r="D35" s="569"/>
      <c r="E35" s="569">
        <v>459850000</v>
      </c>
      <c r="F35" s="569"/>
      <c r="G35" s="569"/>
      <c r="H35" s="1228">
        <f t="shared" si="2"/>
        <v>459850000</v>
      </c>
      <c r="I35" s="30"/>
      <c r="J35" s="30"/>
      <c r="K35" s="30"/>
      <c r="L35" s="30"/>
    </row>
    <row r="36" spans="1:12">
      <c r="A36" s="1218">
        <f t="shared" si="3"/>
        <v>21</v>
      </c>
      <c r="B36" s="1229" t="s">
        <v>48</v>
      </c>
      <c r="C36" s="569"/>
      <c r="D36" s="569"/>
      <c r="E36" s="569">
        <v>539850000</v>
      </c>
      <c r="F36" s="569"/>
      <c r="G36" s="569"/>
      <c r="H36" s="1228">
        <f t="shared" si="2"/>
        <v>539850000</v>
      </c>
      <c r="I36" s="30"/>
      <c r="J36" s="30"/>
      <c r="K36" s="30"/>
      <c r="L36" s="30"/>
    </row>
    <row r="37" spans="1:12">
      <c r="A37" s="1218">
        <f t="shared" si="3"/>
        <v>22</v>
      </c>
      <c r="B37" s="1229" t="s">
        <v>323</v>
      </c>
      <c r="C37" s="569"/>
      <c r="D37" s="569"/>
      <c r="E37" s="569">
        <v>539850000</v>
      </c>
      <c r="F37" s="569"/>
      <c r="G37" s="569"/>
      <c r="H37" s="1228">
        <f t="shared" si="2"/>
        <v>539850000</v>
      </c>
      <c r="I37" s="30"/>
      <c r="J37" s="30"/>
      <c r="K37" s="30"/>
      <c r="L37" s="30"/>
    </row>
    <row r="38" spans="1:12">
      <c r="A38" s="1218">
        <f t="shared" si="3"/>
        <v>23</v>
      </c>
      <c r="B38" s="1229" t="s">
        <v>714</v>
      </c>
      <c r="C38" s="569"/>
      <c r="D38" s="569"/>
      <c r="E38" s="569">
        <v>539850000</v>
      </c>
      <c r="F38" s="569"/>
      <c r="G38" s="569"/>
      <c r="H38" s="1228">
        <f t="shared" si="2"/>
        <v>539850000</v>
      </c>
      <c r="I38" s="30"/>
      <c r="J38" s="30"/>
      <c r="K38" s="30"/>
      <c r="L38" s="30"/>
    </row>
    <row r="39" spans="1:12">
      <c r="A39" s="1218">
        <f t="shared" si="3"/>
        <v>24</v>
      </c>
      <c r="B39" s="1229" t="s">
        <v>326</v>
      </c>
      <c r="C39" s="569"/>
      <c r="D39" s="569"/>
      <c r="E39" s="569">
        <v>539850000</v>
      </c>
      <c r="F39" s="569"/>
      <c r="G39" s="569"/>
      <c r="H39" s="1228">
        <f t="shared" si="2"/>
        <v>539850000</v>
      </c>
      <c r="I39" s="30"/>
      <c r="J39" s="30"/>
      <c r="K39" s="30"/>
      <c r="L39" s="30"/>
    </row>
    <row r="40" spans="1:12">
      <c r="A40" s="1218">
        <f t="shared" si="3"/>
        <v>25</v>
      </c>
      <c r="B40" s="1229" t="s">
        <v>513</v>
      </c>
      <c r="C40" s="569"/>
      <c r="D40" s="569"/>
      <c r="E40" s="569">
        <v>539850000</v>
      </c>
      <c r="F40" s="569"/>
      <c r="G40" s="569"/>
      <c r="H40" s="1228">
        <f t="shared" si="2"/>
        <v>539850000</v>
      </c>
      <c r="I40" s="30"/>
      <c r="J40" s="30"/>
      <c r="K40" s="30"/>
      <c r="L40" s="30"/>
    </row>
    <row r="41" spans="1:12">
      <c r="A41" s="1218">
        <f t="shared" si="3"/>
        <v>26</v>
      </c>
      <c r="B41" s="1229" t="s">
        <v>514</v>
      </c>
      <c r="C41" s="569"/>
      <c r="D41" s="569"/>
      <c r="E41" s="569">
        <v>539850000</v>
      </c>
      <c r="F41" s="569"/>
      <c r="G41" s="569"/>
      <c r="H41" s="1228">
        <f t="shared" si="2"/>
        <v>539850000</v>
      </c>
      <c r="I41" s="30"/>
      <c r="J41" s="30"/>
      <c r="K41" s="30"/>
      <c r="L41" s="30"/>
    </row>
    <row r="42" spans="1:12">
      <c r="A42" s="1230">
        <f t="shared" si="3"/>
        <v>27</v>
      </c>
      <c r="B42" s="1231" t="s">
        <v>715</v>
      </c>
      <c r="C42" s="569">
        <v>0</v>
      </c>
      <c r="D42" s="569">
        <v>0</v>
      </c>
      <c r="E42" s="569">
        <v>539850000</v>
      </c>
      <c r="F42" s="569">
        <v>0</v>
      </c>
      <c r="G42" s="569">
        <v>0</v>
      </c>
      <c r="H42" s="1228">
        <f t="shared" si="2"/>
        <v>539850000</v>
      </c>
      <c r="I42" s="30"/>
      <c r="J42" s="30"/>
      <c r="K42" s="30"/>
      <c r="L42" s="30"/>
    </row>
    <row r="43" spans="1:12" ht="13.5" thickBot="1">
      <c r="A43" s="1232">
        <f t="shared" si="3"/>
        <v>28</v>
      </c>
      <c r="B43" s="1900" t="s">
        <v>1012</v>
      </c>
      <c r="C43" s="1901">
        <f t="shared" ref="C43:G43" si="4">SUM(C30:C42)/13</f>
        <v>0</v>
      </c>
      <c r="D43" s="1902">
        <f t="shared" si="4"/>
        <v>0</v>
      </c>
      <c r="E43" s="1902">
        <f t="shared" si="4"/>
        <v>502926923.07692307</v>
      </c>
      <c r="F43" s="1902">
        <f t="shared" si="4"/>
        <v>0</v>
      </c>
      <c r="G43" s="1902">
        <f t="shared" si="4"/>
        <v>0</v>
      </c>
      <c r="H43" s="1233">
        <f t="shared" ref="H43" si="5">AVERAGE(H30:H42)</f>
        <v>502926923.07692307</v>
      </c>
      <c r="I43" s="30"/>
      <c r="J43" s="30"/>
      <c r="K43" s="30"/>
      <c r="L43" s="30"/>
    </row>
    <row r="44" spans="1:12" ht="13.5" thickTop="1">
      <c r="A44" s="1208"/>
      <c r="B44" s="1237"/>
      <c r="C44"/>
      <c r="D44"/>
      <c r="E44"/>
      <c r="F44"/>
      <c r="G44"/>
      <c r="H44" s="1238"/>
      <c r="I44" s="30"/>
      <c r="J44" s="30"/>
      <c r="K44" s="30"/>
      <c r="L44" s="30"/>
    </row>
    <row r="45" spans="1:12" ht="12.75" customHeight="1">
      <c r="A45" s="4" t="s">
        <v>859</v>
      </c>
      <c r="F45" s="5"/>
      <c r="G45" s="5"/>
      <c r="H45" s="5"/>
      <c r="I45" s="30"/>
      <c r="J45" s="30"/>
      <c r="K45" s="30"/>
    </row>
    <row r="46" spans="1:12">
      <c r="E46" s="5"/>
      <c r="F46" s="5"/>
      <c r="G46" s="5"/>
      <c r="H46" s="5"/>
      <c r="J46" s="1237"/>
    </row>
    <row r="47" spans="1:12" ht="15">
      <c r="A47" s="6" t="s">
        <v>167</v>
      </c>
      <c r="E47" s="5"/>
      <c r="F47" s="5"/>
      <c r="G47" s="5"/>
      <c r="H47" s="1210"/>
    </row>
    <row r="48" spans="1:12" ht="25.5">
      <c r="A48" s="1212" t="s">
        <v>693</v>
      </c>
      <c r="B48" s="1240" t="s">
        <v>702</v>
      </c>
      <c r="C48" s="1240" t="s">
        <v>703</v>
      </c>
      <c r="D48" s="1241" t="s">
        <v>704</v>
      </c>
      <c r="E48" s="1240" t="s">
        <v>705</v>
      </c>
      <c r="F48" s="1241" t="s">
        <v>706</v>
      </c>
      <c r="G48" s="1240" t="s">
        <v>707</v>
      </c>
      <c r="H48" s="1240" t="s">
        <v>708</v>
      </c>
    </row>
    <row r="49" spans="1:12" ht="15">
      <c r="A49" s="6"/>
      <c r="B49" s="1240"/>
      <c r="C49" s="1240"/>
      <c r="D49" s="1241"/>
      <c r="E49" s="1240"/>
      <c r="F49" s="1241"/>
      <c r="G49" s="1240"/>
      <c r="H49" s="1240"/>
    </row>
    <row r="50" spans="1:12">
      <c r="A50" s="7">
        <f>+A43+1</f>
        <v>29</v>
      </c>
      <c r="B50" s="8" t="str">
        <f>"Annual Interest Expense for "&amp;'OKT TCOS'!N2</f>
        <v>Annual Interest Expense for 2022</v>
      </c>
      <c r="C50" s="9"/>
      <c r="D50" s="10"/>
      <c r="E50" s="14"/>
      <c r="F50" s="14"/>
      <c r="G50" s="14"/>
      <c r="H50" s="14"/>
      <c r="I50" s="14"/>
      <c r="J50" s="14"/>
      <c r="K50" s="14"/>
      <c r="L50" s="14"/>
    </row>
    <row r="51" spans="1:12">
      <c r="A51" s="7">
        <f t="shared" ref="A51:A58" si="6">+A50+1</f>
        <v>30</v>
      </c>
      <c r="B51" s="11" t="s">
        <v>603</v>
      </c>
      <c r="C51" s="9"/>
      <c r="D51" s="10"/>
      <c r="E51" s="569">
        <v>20457440</v>
      </c>
      <c r="F51"/>
      <c r="G51" s="14" t="s">
        <v>1255</v>
      </c>
      <c r="H51" s="14"/>
      <c r="I51" s="14"/>
      <c r="J51" s="14"/>
      <c r="K51" s="14"/>
      <c r="L51" s="14"/>
    </row>
    <row r="52" spans="1:12" ht="28.5" customHeight="1">
      <c r="A52" s="7">
        <f t="shared" si="6"/>
        <v>31</v>
      </c>
      <c r="B52" s="2269" t="str">
        <f>"Less: Total Hedge Gain/Expense Accumulated from p 256-257, col. (i) of FERC Form 1  included in Ln "&amp;A51&amp;" and shown in "&amp;A76&amp;" below."</f>
        <v>Less: Total Hedge Gain/Expense Accumulated from p 256-257, col. (i) of FERC Form 1  included in Ln 30 and shown in 50 below.</v>
      </c>
      <c r="C52" s="2270"/>
      <c r="D52" s="10"/>
      <c r="E52" s="9">
        <f>+C76</f>
        <v>0</v>
      </c>
      <c r="F52"/>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42">
        <f>+E82</f>
        <v>0</v>
      </c>
      <c r="F53"/>
      <c r="G53" s="14"/>
      <c r="H53" s="14"/>
      <c r="I53" s="14"/>
      <c r="J53" s="14"/>
      <c r="K53" s="14"/>
      <c r="L53" s="14"/>
    </row>
    <row r="54" spans="1:12">
      <c r="A54" s="7">
        <f t="shared" si="6"/>
        <v>33</v>
      </c>
      <c r="B54" s="11" t="s">
        <v>644</v>
      </c>
      <c r="C54" s="13"/>
      <c r="D54" s="14"/>
      <c r="E54" s="569">
        <v>266145.69</v>
      </c>
      <c r="F54"/>
      <c r="G54" s="14"/>
      <c r="H54" s="14"/>
      <c r="I54" s="14"/>
      <c r="J54" s="14"/>
    </row>
    <row r="55" spans="1:12">
      <c r="A55" s="7">
        <f t="shared" si="6"/>
        <v>34</v>
      </c>
      <c r="B55" s="11" t="s">
        <v>645</v>
      </c>
      <c r="C55" s="15"/>
      <c r="D55" s="10"/>
      <c r="E55" s="569">
        <v>0</v>
      </c>
      <c r="F55"/>
      <c r="G55" s="14"/>
      <c r="H55" s="14"/>
      <c r="I55" s="14"/>
      <c r="J55" s="14"/>
    </row>
    <row r="56" spans="1:12">
      <c r="A56" s="7">
        <f t="shared" si="6"/>
        <v>35</v>
      </c>
      <c r="B56" s="11" t="s">
        <v>646</v>
      </c>
      <c r="C56" s="15"/>
      <c r="D56" s="10"/>
      <c r="E56" s="569">
        <v>12706.92</v>
      </c>
      <c r="F56"/>
      <c r="G56" s="14"/>
      <c r="H56" s="14"/>
      <c r="I56" s="14"/>
      <c r="J56" s="14"/>
    </row>
    <row r="57" spans="1:12">
      <c r="A57" s="7">
        <f t="shared" si="6"/>
        <v>36</v>
      </c>
      <c r="B57" s="11" t="s">
        <v>647</v>
      </c>
      <c r="C57" s="15"/>
      <c r="D57" s="10"/>
      <c r="E57" s="569">
        <v>0</v>
      </c>
      <c r="F57"/>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20710878.77</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"&amp;'OKT TCOS'!N2&amp;" (Ln "&amp;A58&amp;"/ ln "&amp;A43&amp;" (g))"</f>
        <v>Average Cost of Debt for 2022 (Ln 37/ ln 28 (g))</v>
      </c>
      <c r="C60" s="16"/>
      <c r="D60" s="10"/>
      <c r="E60" s="20">
        <f>IF(ISERROR(+E58/H43),0,E58/H43)</f>
        <v>4.1180692103914777E-2</v>
      </c>
      <c r="F60" s="14"/>
      <c r="G60" s="14"/>
      <c r="H60" s="14"/>
      <c r="I60" s="14"/>
      <c r="J60" s="14"/>
    </row>
    <row r="61" spans="1:12">
      <c r="A61" s="21"/>
      <c r="B61" s="19"/>
      <c r="C61" s="15"/>
      <c r="D61" s="10"/>
      <c r="E61" s="15"/>
      <c r="F61" s="14"/>
      <c r="G61" s="14"/>
      <c r="H61" s="14"/>
      <c r="I61" s="14"/>
      <c r="J61" s="14"/>
    </row>
    <row r="62" spans="1:12" s="25" customFormat="1" ht="28.5" customHeight="1">
      <c r="A62" s="22"/>
      <c r="B62" s="2271" t="s">
        <v>860</v>
      </c>
      <c r="C62" s="2271"/>
      <c r="D62" s="2271"/>
      <c r="E62" s="2271"/>
      <c r="F62" s="23"/>
      <c r="G62" s="24"/>
    </row>
    <row r="63" spans="1:12" s="25" customFormat="1" ht="65.25" customHeight="1">
      <c r="A63" s="46">
        <f>+A60+1</f>
        <v>39</v>
      </c>
      <c r="B63" s="2268" t="s">
        <v>861</v>
      </c>
      <c r="C63" s="2268"/>
      <c r="D63" s="2268"/>
      <c r="E63" s="2268"/>
      <c r="F63" s="2268"/>
      <c r="G63" s="2268"/>
      <c r="H63" s="2268"/>
    </row>
    <row r="64" spans="1:12" s="25" customFormat="1" ht="12" customHeight="1">
      <c r="A64" s="22"/>
      <c r="B64" s="26"/>
      <c r="C64" s="26"/>
      <c r="D64" s="26"/>
      <c r="E64" s="26"/>
      <c r="F64" s="24"/>
      <c r="G64" s="2272" t="s">
        <v>862</v>
      </c>
      <c r="H64" s="2272"/>
    </row>
    <row r="65" spans="1:10" s="25" customFormat="1" ht="52.5" customHeight="1">
      <c r="A65" s="7"/>
      <c r="B65" s="28" t="s">
        <v>863</v>
      </c>
      <c r="C65" s="50" t="str">
        <f>"Total Hedge (Gain)/Loss for "&amp;'OKT TCOS'!N2</f>
        <v>Total Hedge (Gain)/Loss for 2022</v>
      </c>
      <c r="D65" s="50" t="str">
        <f>"Less Excludable Amounts (See NOTE on Line "&amp;A63&amp;")"</f>
        <v>Less Excludable Amounts (See NOTE on Line 39)</v>
      </c>
      <c r="E65" s="50" t="s">
        <v>864</v>
      </c>
      <c r="F65" s="50" t="s">
        <v>865</v>
      </c>
      <c r="G65" s="50" t="s">
        <v>459</v>
      </c>
      <c r="H65" s="50" t="s">
        <v>461</v>
      </c>
    </row>
    <row r="66" spans="1:10" s="25" customFormat="1" ht="12.75" customHeight="1">
      <c r="A66" s="7">
        <f>+A63+1</f>
        <v>40</v>
      </c>
      <c r="B66" s="1243"/>
      <c r="C66" s="1244"/>
      <c r="D66" s="569">
        <v>0</v>
      </c>
      <c r="E66" s="29">
        <f t="shared" ref="E66:E74" si="7">+C66-D66</f>
        <v>0</v>
      </c>
      <c r="F66" s="569"/>
      <c r="G66" s="569"/>
      <c r="H66" s="569"/>
      <c r="I66" s="30"/>
      <c r="J66" s="30"/>
    </row>
    <row r="67" spans="1:10" s="25" customFormat="1" ht="12.75" customHeight="1">
      <c r="A67" s="7">
        <f t="shared" ref="A67:A76" si="8">+A66+1</f>
        <v>41</v>
      </c>
      <c r="B67" s="1243"/>
      <c r="C67" s="1244"/>
      <c r="D67" s="569">
        <v>0</v>
      </c>
      <c r="E67" s="29">
        <f t="shared" si="7"/>
        <v>0</v>
      </c>
      <c r="F67" s="569"/>
      <c r="G67" s="569"/>
      <c r="H67" s="569"/>
    </row>
    <row r="68" spans="1:10" s="25" customFormat="1" ht="12.75" customHeight="1">
      <c r="A68" s="7">
        <f t="shared" si="8"/>
        <v>42</v>
      </c>
      <c r="B68" s="569"/>
      <c r="C68" s="569"/>
      <c r="D68" s="569"/>
      <c r="E68" s="29">
        <f t="shared" si="7"/>
        <v>0</v>
      </c>
      <c r="F68" s="569"/>
      <c r="G68" s="569"/>
      <c r="H68" s="569"/>
    </row>
    <row r="69" spans="1:10" s="25" customFormat="1" ht="12.75" customHeight="1">
      <c r="A69" s="7">
        <f t="shared" si="8"/>
        <v>43</v>
      </c>
      <c r="B69" s="569"/>
      <c r="C69" s="569"/>
      <c r="D69" s="569"/>
      <c r="E69" s="29">
        <f t="shared" si="7"/>
        <v>0</v>
      </c>
      <c r="F69" s="569"/>
      <c r="G69" s="569"/>
      <c r="H69" s="569"/>
    </row>
    <row r="70" spans="1:10" s="25" customFormat="1" ht="12.75" customHeight="1">
      <c r="A70" s="7">
        <f t="shared" si="8"/>
        <v>44</v>
      </c>
      <c r="B70" s="569"/>
      <c r="C70" s="569"/>
      <c r="D70" s="569"/>
      <c r="E70" s="29">
        <f t="shared" si="7"/>
        <v>0</v>
      </c>
      <c r="F70" s="569"/>
      <c r="G70" s="569"/>
      <c r="H70" s="569"/>
    </row>
    <row r="71" spans="1:10" s="25" customFormat="1" ht="12.75" customHeight="1">
      <c r="A71" s="7">
        <f t="shared" si="8"/>
        <v>45</v>
      </c>
      <c r="B71" s="569"/>
      <c r="C71" s="569"/>
      <c r="D71" s="569"/>
      <c r="E71" s="29">
        <f t="shared" si="7"/>
        <v>0</v>
      </c>
      <c r="F71" s="569"/>
      <c r="G71" s="569"/>
      <c r="H71" s="569"/>
    </row>
    <row r="72" spans="1:10" s="25" customFormat="1" ht="12.75" customHeight="1">
      <c r="A72" s="7">
        <f t="shared" si="8"/>
        <v>46</v>
      </c>
      <c r="B72" s="569"/>
      <c r="C72" s="569"/>
      <c r="D72" s="569"/>
      <c r="E72" s="29">
        <f t="shared" si="7"/>
        <v>0</v>
      </c>
      <c r="F72" s="569"/>
      <c r="G72" s="569"/>
      <c r="H72" s="569"/>
    </row>
    <row r="73" spans="1:10" s="25" customFormat="1" ht="12.75" customHeight="1">
      <c r="A73" s="7">
        <f t="shared" si="8"/>
        <v>47</v>
      </c>
      <c r="B73" s="569"/>
      <c r="C73" s="569"/>
      <c r="D73" s="569"/>
      <c r="E73" s="29">
        <f t="shared" si="7"/>
        <v>0</v>
      </c>
      <c r="F73" s="569"/>
      <c r="G73" s="569"/>
      <c r="H73" s="569"/>
    </row>
    <row r="74" spans="1:10" s="25" customFormat="1" ht="12.75" customHeight="1">
      <c r="A74" s="7">
        <f t="shared" si="8"/>
        <v>48</v>
      </c>
      <c r="B74" s="569"/>
      <c r="C74" s="569"/>
      <c r="D74" s="569"/>
      <c r="E74" s="29">
        <f t="shared" si="7"/>
        <v>0</v>
      </c>
      <c r="F74" s="569"/>
      <c r="G74" s="569"/>
      <c r="H74" s="569"/>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168</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"&amp;'OKT TCOS'!N2&amp;" (TCOS, Ln "&amp;'OKT TCOS'!B238&amp;")"</f>
        <v>Total Average Capital Structure Balance for 2022 (TCOS, Ln 144)</v>
      </c>
      <c r="C79" s="15"/>
      <c r="D79" s="10"/>
      <c r="E79" s="35">
        <f>+'OKT TCOS'!E238</f>
        <v>1141020515.2815385</v>
      </c>
      <c r="F79" s="24"/>
      <c r="G79" s="24"/>
      <c r="H79" s="36"/>
    </row>
    <row r="80" spans="1:10" s="25" customFormat="1" ht="12.75" customHeight="1">
      <c r="A80" s="7">
        <f>+A79+1</f>
        <v>53</v>
      </c>
      <c r="B80" s="19" t="s">
        <v>169</v>
      </c>
      <c r="C80" s="15"/>
      <c r="D80" s="10"/>
      <c r="E80" s="37">
        <v>5.0000000000000001E-4</v>
      </c>
      <c r="F80" s="24"/>
      <c r="G80" s="38"/>
    </row>
    <row r="81" spans="1:7" s="25" customFormat="1" ht="12.75" customHeight="1" thickBot="1">
      <c r="A81" s="7">
        <f>+A80+1</f>
        <v>54</v>
      </c>
      <c r="B81" s="19" t="s">
        <v>170</v>
      </c>
      <c r="C81" s="15"/>
      <c r="D81" s="10"/>
      <c r="E81" s="39">
        <f>+E79*E80</f>
        <v>570510.25764076924</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0</v>
      </c>
      <c r="F82" s="24"/>
      <c r="G82" s="24"/>
    </row>
    <row r="83" spans="1:7" s="25" customFormat="1" ht="12.75" customHeight="1">
      <c r="A83" s="7"/>
      <c r="B83" s="19"/>
      <c r="C83" s="15"/>
      <c r="D83" s="10"/>
      <c r="E83" s="15"/>
      <c r="F83" s="24"/>
      <c r="G83" s="24"/>
    </row>
    <row r="84" spans="1:7" s="25" customFormat="1" ht="12.75" customHeight="1">
      <c r="A84" s="41" t="s">
        <v>171</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1"/>
      <c r="D86" s="131"/>
      <c r="E86" s="43">
        <f>+D24</f>
        <v>0</v>
      </c>
      <c r="F86" s="10"/>
      <c r="G86" s="24"/>
    </row>
    <row r="87" spans="1:7" s="25" customFormat="1" ht="12.75" customHeight="1" thickBot="1">
      <c r="A87" s="7">
        <f>+A86+1</f>
        <v>57</v>
      </c>
      <c r="B87" s="10" t="s">
        <v>866</v>
      </c>
      <c r="C87" s="131"/>
      <c r="D87" s="131"/>
      <c r="E87" s="569">
        <v>0</v>
      </c>
      <c r="F87" s="24"/>
      <c r="G87" s="24"/>
    </row>
    <row r="88" spans="1:7" s="25" customFormat="1" ht="12.75" customHeight="1" thickBot="1">
      <c r="A88" s="7">
        <f>+A87+1</f>
        <v>58</v>
      </c>
      <c r="B88" s="45" t="str">
        <f>"Average Cost of Preferred Stock (Ln "&amp;A87&amp;"/ Ln "&amp;A86&amp;")"</f>
        <v>Average Cost of Preferred Stock (Ln 57/ Ln 56)</v>
      </c>
      <c r="C88" s="131"/>
      <c r="D88" s="131"/>
      <c r="E88" s="20">
        <f>IF(E86=0,0,+E87/E86)</f>
        <v>0</v>
      </c>
      <c r="F88" s="24"/>
      <c r="G88" s="24"/>
    </row>
    <row r="89" spans="1:7">
      <c r="C89" s="131"/>
      <c r="D89" s="131"/>
    </row>
    <row r="130" spans="7:7">
      <c r="G130" s="1207" t="s">
        <v>251</v>
      </c>
    </row>
    <row r="147" spans="7:12">
      <c r="G147" s="1245"/>
      <c r="L147" s="1245"/>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66" fitToHeight="0" orientation="landscape" cellComments="asDisplayed" r:id="rId1"/>
  <headerFooter>
    <oddHeader xml:space="preserve">&amp;RAEP - SPP Transco Formula Rate
TCOS - WS M 
Page: &amp;P of &amp;N
</oddHeader>
  </headerFooter>
  <rowBreaks count="1" manualBreakCount="1">
    <brk id="45"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3"/>
  <sheetViews>
    <sheetView zoomScaleNormal="100" workbookViewId="0">
      <selection activeCell="D11" sqref="D11"/>
    </sheetView>
  </sheetViews>
  <sheetFormatPr defaultColWidth="9.28515625" defaultRowHeight="12.75"/>
  <cols>
    <col min="1" max="1" width="1.7109375" style="394" customWidth="1"/>
    <col min="2" max="2" width="25.28515625" style="394" customWidth="1"/>
    <col min="3" max="3" width="1.7109375" style="394" customWidth="1"/>
    <col min="4" max="4" width="22" style="394" customWidth="1"/>
    <col min="5" max="5" width="1.7109375" style="394" customWidth="1"/>
    <col min="6" max="6" width="22.28515625" style="394" customWidth="1"/>
    <col min="7" max="7" width="1.7109375" style="394" customWidth="1"/>
    <col min="8" max="8" width="17.28515625" style="394" customWidth="1"/>
    <col min="9" max="9" width="1.7109375" style="394" customWidth="1"/>
    <col min="10" max="10" width="15.5703125" style="394" customWidth="1"/>
    <col min="11" max="11" width="1.7109375" style="394" customWidth="1"/>
    <col min="12" max="12" width="15.7109375" style="394" customWidth="1"/>
    <col min="13" max="13" width="1.7109375" style="394" customWidth="1"/>
    <col min="14" max="14" width="13.5703125" style="394" customWidth="1"/>
    <col min="15" max="15" width="1.7109375" style="394" customWidth="1"/>
    <col min="16" max="16" width="14.28515625" style="394" customWidth="1"/>
    <col min="17" max="17" width="1.7109375" style="394" customWidth="1"/>
    <col min="18" max="18" width="14.42578125" style="394" customWidth="1"/>
    <col min="19" max="19" width="7.7109375" style="394" bestFit="1" customWidth="1"/>
    <col min="20" max="20" width="3" style="394" hidden="1" customWidth="1"/>
    <col min="21" max="16384" width="9.28515625" style="394"/>
  </cols>
  <sheetData>
    <row r="1" spans="1:23" ht="15">
      <c r="A1" s="1246"/>
    </row>
    <row r="2" spans="1:23" ht="15.75">
      <c r="A2" s="1247"/>
    </row>
    <row r="3" spans="1:23" ht="15.75">
      <c r="A3" s="1247"/>
    </row>
    <row r="4" spans="1:23" ht="15.75">
      <c r="B4" s="2280" t="str">
        <f>+'OKT TCOS'!F4</f>
        <v xml:space="preserve">AEP West SPP Member Transmission Companies </v>
      </c>
      <c r="C4" s="2280"/>
      <c r="D4" s="2280"/>
      <c r="E4" s="2280"/>
      <c r="F4" s="2280"/>
      <c r="G4" s="2280"/>
      <c r="H4" s="2280"/>
      <c r="I4" s="2280"/>
      <c r="J4" s="2280"/>
      <c r="K4" s="2280"/>
      <c r="L4" s="2280"/>
      <c r="M4" s="2280"/>
      <c r="N4" s="2280"/>
      <c r="O4" s="2280"/>
      <c r="P4" s="2280"/>
      <c r="Q4" s="2280"/>
      <c r="R4" s="2280"/>
    </row>
    <row r="5" spans="1:23" ht="15.75">
      <c r="B5" s="2281" t="str">
        <f>+'OKT WS A-1 - Plant'!A3</f>
        <v xml:space="preserve">Actual / Projected 2022 Rate Year Cost of Service Formula Rate </v>
      </c>
      <c r="C5" s="2281"/>
      <c r="D5" s="2281"/>
      <c r="E5" s="2281"/>
      <c r="F5" s="2281"/>
      <c r="G5" s="2281"/>
      <c r="H5" s="2281"/>
      <c r="I5" s="2281"/>
      <c r="J5" s="2281"/>
      <c r="K5" s="2281"/>
      <c r="L5" s="2281"/>
      <c r="M5" s="2281"/>
      <c r="N5" s="2281"/>
      <c r="O5" s="2281"/>
      <c r="P5" s="2281"/>
      <c r="Q5" s="2281"/>
      <c r="R5" s="2281"/>
    </row>
    <row r="6" spans="1:23" ht="15.75">
      <c r="B6" s="2281" t="s">
        <v>669</v>
      </c>
      <c r="C6" s="2281"/>
      <c r="D6" s="2281"/>
      <c r="E6" s="2281"/>
      <c r="F6" s="2281"/>
      <c r="G6" s="2281"/>
      <c r="H6" s="2281"/>
      <c r="I6" s="2281"/>
      <c r="J6" s="2281"/>
      <c r="K6" s="2281"/>
      <c r="L6" s="2281"/>
      <c r="M6" s="2281"/>
      <c r="N6" s="2281"/>
      <c r="O6" s="2281"/>
      <c r="P6" s="2281"/>
      <c r="Q6" s="2281"/>
      <c r="R6" s="2281"/>
    </row>
    <row r="7" spans="1:23" ht="15.75">
      <c r="B7" s="2243" t="str">
        <f>+'OKT TCOS'!F8</f>
        <v>AEP OKLAHOMA TRANSMISSION COMPANY, INC.</v>
      </c>
      <c r="C7" s="2281"/>
      <c r="D7" s="2281"/>
      <c r="E7" s="2281"/>
      <c r="F7" s="2281"/>
      <c r="G7" s="2281"/>
      <c r="H7" s="2281"/>
      <c r="I7" s="2281"/>
      <c r="J7" s="2281"/>
      <c r="K7" s="2281"/>
      <c r="L7" s="2281"/>
      <c r="M7" s="2281"/>
      <c r="N7" s="2281"/>
      <c r="O7" s="2281"/>
      <c r="P7" s="2281"/>
      <c r="Q7" s="2281"/>
      <c r="R7" s="2281"/>
    </row>
    <row r="8" spans="1:23" ht="16.5" thickBot="1">
      <c r="B8" s="1249"/>
      <c r="C8" s="1249"/>
      <c r="D8" s="1249"/>
      <c r="E8" s="1249"/>
      <c r="F8" s="1249"/>
      <c r="G8" s="1249"/>
      <c r="H8" s="1249"/>
      <c r="I8" s="1249"/>
      <c r="J8" s="1249"/>
      <c r="K8" s="1249"/>
      <c r="P8" s="1249"/>
      <c r="Q8" s="1249"/>
      <c r="R8" s="1249"/>
    </row>
    <row r="9" spans="1:23" ht="60.75" customHeight="1">
      <c r="B9" s="1250" t="str">
        <f>"True up Revenue Requirement For Year "&amp;J9&amp;" Available May, "&amp;J10&amp;" Net of Schedule 11 Revenue Credits"</f>
        <v>True up Revenue Requirement For Year 2022 Available May, 2023 Net of Schedule 11 Revenue Credits</v>
      </c>
      <c r="C9" s="1249"/>
      <c r="D9" s="1250" t="s">
        <v>913</v>
      </c>
      <c r="E9" s="1251"/>
      <c r="F9" s="1252" t="s">
        <v>670</v>
      </c>
      <c r="G9" s="404"/>
      <c r="H9" s="1253" t="s">
        <v>671</v>
      </c>
      <c r="I9" s="1249"/>
      <c r="J9" s="1254">
        <f>+'OKT TCOS'!N2</f>
        <v>2022</v>
      </c>
      <c r="K9" s="1249"/>
      <c r="P9" s="404"/>
      <c r="Q9" s="404"/>
      <c r="R9" s="404"/>
    </row>
    <row r="10" spans="1:23" ht="15.75">
      <c r="B10" s="1255" t="s">
        <v>251</v>
      </c>
      <c r="C10" s="1249"/>
      <c r="D10" s="1255"/>
      <c r="E10" s="1251"/>
      <c r="F10" s="1256"/>
      <c r="G10" s="404"/>
      <c r="H10" s="1257" t="s">
        <v>672</v>
      </c>
      <c r="I10" s="1258"/>
      <c r="J10" s="1259">
        <f>J9+1</f>
        <v>2023</v>
      </c>
      <c r="P10" s="404"/>
      <c r="Q10" s="404"/>
      <c r="R10" s="404"/>
    </row>
    <row r="11" spans="1:23" ht="16.5" thickBot="1">
      <c r="B11" s="1260">
        <f>+'Zonal Rates'!K23</f>
        <v>43732218.925781809</v>
      </c>
      <c r="C11" s="1261" t="s">
        <v>673</v>
      </c>
      <c r="D11" s="1260">
        <v>42155112.254842743</v>
      </c>
      <c r="E11" s="1262" t="s">
        <v>674</v>
      </c>
      <c r="F11" s="1263">
        <f>IF(B11=0,0,D11-B11)</f>
        <v>-1577106.6709390655</v>
      </c>
      <c r="G11" s="1264"/>
      <c r="H11" s="1265" t="s">
        <v>675</v>
      </c>
      <c r="I11" s="1266"/>
      <c r="J11" s="1267">
        <f>J10+1</f>
        <v>2024</v>
      </c>
      <c r="P11" s="404"/>
      <c r="Q11" s="404"/>
      <c r="R11" s="404"/>
    </row>
    <row r="12" spans="1:23" ht="15.75">
      <c r="B12" s="1266"/>
      <c r="C12" s="1268"/>
      <c r="D12" s="1268"/>
      <c r="E12" s="1268"/>
      <c r="F12" s="1931"/>
      <c r="G12" s="1931"/>
      <c r="H12" s="1931"/>
      <c r="I12" s="1931"/>
      <c r="J12" s="1931"/>
      <c r="K12" s="1931"/>
      <c r="L12" s="1931"/>
      <c r="M12" s="1931"/>
      <c r="N12" s="1931"/>
      <c r="O12" s="1931"/>
      <c r="P12" s="1931"/>
      <c r="Q12" s="1931"/>
      <c r="R12" s="1931"/>
      <c r="S12" s="1931"/>
      <c r="T12" s="1931"/>
      <c r="U12" s="1931"/>
      <c r="V12" s="1931"/>
      <c r="W12" s="1931"/>
    </row>
    <row r="13" spans="1:23" ht="16.5" thickBot="1">
      <c r="B13" s="1269"/>
      <c r="C13" s="1270"/>
      <c r="D13" s="1271"/>
      <c r="E13" s="1269"/>
      <c r="F13" s="1269"/>
      <c r="G13" s="1269"/>
      <c r="H13" s="1269"/>
      <c r="I13" s="1269"/>
      <c r="J13" s="1269"/>
      <c r="K13" s="1269"/>
      <c r="L13" s="1269"/>
      <c r="M13" s="1269"/>
      <c r="N13" s="1272"/>
      <c r="O13" s="1272"/>
      <c r="P13" s="1272"/>
      <c r="Q13" s="1272"/>
      <c r="R13" s="1272"/>
    </row>
    <row r="14" spans="1:23" ht="15.75">
      <c r="B14" s="1273"/>
      <c r="C14" s="1268"/>
      <c r="D14" s="1266"/>
      <c r="E14" s="1266"/>
      <c r="F14" s="1266"/>
      <c r="G14" s="1266"/>
      <c r="H14" s="1266"/>
      <c r="I14" s="1266"/>
      <c r="J14" s="1266"/>
      <c r="K14" s="1266"/>
      <c r="L14" s="1266"/>
      <c r="M14" s="1266"/>
      <c r="N14" s="404"/>
      <c r="O14" s="404"/>
      <c r="P14" s="404"/>
      <c r="Q14" s="404"/>
      <c r="R14" s="404"/>
    </row>
    <row r="15" spans="1:23" ht="63">
      <c r="B15" s="1274" t="s">
        <v>676</v>
      </c>
      <c r="C15" s="1268"/>
      <c r="D15" s="1275" t="s">
        <v>677</v>
      </c>
      <c r="E15" s="1275"/>
      <c r="F15" s="1275" t="s">
        <v>678</v>
      </c>
      <c r="G15" s="1275"/>
      <c r="H15" s="1275" t="s">
        <v>679</v>
      </c>
      <c r="I15" s="1266"/>
      <c r="J15" s="1276" t="s">
        <v>680</v>
      </c>
      <c r="K15" s="1266"/>
      <c r="L15" s="1275" t="s">
        <v>896</v>
      </c>
      <c r="M15" s="1277"/>
      <c r="N15" s="1276" t="s">
        <v>681</v>
      </c>
      <c r="O15" s="1276"/>
      <c r="P15" s="1275" t="s">
        <v>682</v>
      </c>
      <c r="Q15" s="1278"/>
      <c r="R15" s="1275" t="s">
        <v>683</v>
      </c>
    </row>
    <row r="16" spans="1:23" ht="15.75">
      <c r="B16" s="1279"/>
      <c r="C16" s="1268"/>
      <c r="D16" s="404"/>
      <c r="E16" s="404"/>
      <c r="F16" s="404"/>
      <c r="G16" s="404"/>
      <c r="H16" s="404"/>
      <c r="I16" s="1280"/>
      <c r="J16" s="1280"/>
      <c r="K16" s="1280"/>
      <c r="N16" s="404"/>
      <c r="O16" s="404"/>
      <c r="P16" s="404"/>
      <c r="Q16" s="404"/>
      <c r="R16" s="404"/>
    </row>
    <row r="17" spans="2:20" ht="15.75">
      <c r="B17" s="1281" t="s">
        <v>684</v>
      </c>
      <c r="C17" s="1268"/>
      <c r="D17" s="1268"/>
      <c r="E17" s="1268"/>
      <c r="F17" s="1268"/>
      <c r="G17" s="1268"/>
      <c r="H17" s="1268"/>
      <c r="I17" s="1268"/>
      <c r="J17" s="1268"/>
      <c r="K17" s="1268"/>
      <c r="L17" s="404"/>
      <c r="M17" s="404"/>
      <c r="N17" s="1277"/>
      <c r="O17" s="1277"/>
      <c r="P17" s="1268"/>
      <c r="Q17" s="1268"/>
      <c r="R17" s="1268"/>
    </row>
    <row r="18" spans="2:20" ht="15.75">
      <c r="B18" s="1282" t="s">
        <v>124</v>
      </c>
      <c r="C18" s="1268"/>
      <c r="D18" s="1268"/>
      <c r="E18" s="1268"/>
      <c r="F18" s="1268"/>
      <c r="G18" s="1268"/>
      <c r="H18" s="1268"/>
      <c r="I18" s="1268"/>
      <c r="J18" s="1268"/>
      <c r="K18" s="1268"/>
      <c r="L18" s="404"/>
      <c r="M18" s="404"/>
      <c r="N18" s="1277"/>
      <c r="O18" s="1277"/>
      <c r="P18" s="1268"/>
      <c r="Q18" s="1268"/>
      <c r="R18" s="1268"/>
    </row>
    <row r="19" spans="2:20" ht="15.75">
      <c r="B19" s="1283">
        <f t="shared" ref="B19:B30" si="0">DATE($J$9,T19,1)</f>
        <v>44562</v>
      </c>
      <c r="C19" s="1249"/>
      <c r="D19" s="1284">
        <f>F11/12</f>
        <v>-131425.5559115888</v>
      </c>
      <c r="E19" s="1285"/>
      <c r="F19" s="1284">
        <v>0</v>
      </c>
      <c r="G19" s="1284"/>
      <c r="H19" s="1284">
        <v>0</v>
      </c>
      <c r="I19" s="1284"/>
      <c r="J19" s="1284">
        <f>F19+H19</f>
        <v>0</v>
      </c>
      <c r="K19" s="1285"/>
      <c r="L19" s="1286">
        <f>+'OKT WS Q Interest Rate'!E13</f>
        <v>2.8E-3</v>
      </c>
      <c r="M19" s="1287"/>
      <c r="N19" s="1284">
        <f t="shared" ref="N19:N30" si="1">J19*L19</f>
        <v>0</v>
      </c>
      <c r="O19" s="1284"/>
      <c r="P19" s="1284"/>
      <c r="Q19" s="1284"/>
      <c r="R19" s="1284">
        <f>D19+N19</f>
        <v>-131425.5559115888</v>
      </c>
      <c r="T19" s="394">
        <v>1</v>
      </c>
    </row>
    <row r="20" spans="2:20" ht="15.75">
      <c r="B20" s="1283">
        <f t="shared" si="0"/>
        <v>44593</v>
      </c>
      <c r="C20" s="1249"/>
      <c r="D20" s="1284">
        <f>+D19</f>
        <v>-131425.5559115888</v>
      </c>
      <c r="E20" s="1285"/>
      <c r="F20" s="1284">
        <f>D19</f>
        <v>-131425.5559115888</v>
      </c>
      <c r="G20" s="1284"/>
      <c r="H20" s="1284">
        <v>0</v>
      </c>
      <c r="I20" s="1284"/>
      <c r="J20" s="1284">
        <f t="shared" ref="J20:J29" si="2">F20+H20</f>
        <v>-131425.5559115888</v>
      </c>
      <c r="K20" s="1285"/>
      <c r="L20" s="1286">
        <f>+'OKT WS Q Interest Rate'!E14</f>
        <v>2.5000000000000001E-3</v>
      </c>
      <c r="M20" s="1287"/>
      <c r="N20" s="1284">
        <f t="shared" si="1"/>
        <v>-328.563889778972</v>
      </c>
      <c r="O20" s="1284"/>
      <c r="P20" s="1284"/>
      <c r="Q20" s="1284"/>
      <c r="R20" s="1284">
        <f>SUM($D$19:D20)+SUM($N$19:N20)</f>
        <v>-263179.67571295658</v>
      </c>
      <c r="T20" s="394">
        <v>2</v>
      </c>
    </row>
    <row r="21" spans="2:20" ht="15.75">
      <c r="B21" s="1283">
        <f t="shared" si="0"/>
        <v>44621</v>
      </c>
      <c r="C21" s="1249"/>
      <c r="D21" s="1284">
        <f>+D20</f>
        <v>-131425.5559115888</v>
      </c>
      <c r="E21" s="1285"/>
      <c r="F21" s="1284">
        <f>D20+F20</f>
        <v>-262851.11182317761</v>
      </c>
      <c r="G21" s="1284"/>
      <c r="H21" s="1284">
        <v>0</v>
      </c>
      <c r="I21" s="1284"/>
      <c r="J21" s="1284">
        <f t="shared" si="2"/>
        <v>-262851.11182317761</v>
      </c>
      <c r="K21" s="1285"/>
      <c r="L21" s="1286">
        <f>+'OKT WS Q Interest Rate'!E15</f>
        <v>2.8E-3</v>
      </c>
      <c r="M21" s="1287"/>
      <c r="N21" s="1284">
        <f t="shared" si="1"/>
        <v>-735.98311310489726</v>
      </c>
      <c r="O21" s="1284"/>
      <c r="P21" s="1284"/>
      <c r="Q21" s="1284"/>
      <c r="R21" s="1284">
        <f>SUM($D$19:D21)+SUM($N$19:N21)</f>
        <v>-395341.21473765024</v>
      </c>
      <c r="T21" s="394">
        <v>3</v>
      </c>
    </row>
    <row r="22" spans="2:20" ht="15.75">
      <c r="B22" s="1283">
        <f t="shared" si="0"/>
        <v>44652</v>
      </c>
      <c r="C22" s="1249"/>
      <c r="D22" s="1284">
        <f>+D21</f>
        <v>-131425.5559115888</v>
      </c>
      <c r="E22" s="1285"/>
      <c r="F22" s="1284">
        <f t="shared" ref="F22:F28" si="3">D21+F21</f>
        <v>-394276.66773476638</v>
      </c>
      <c r="G22" s="1284"/>
      <c r="H22" s="1284">
        <f>SUM($N$19:$N$21)</f>
        <v>-1064.5470028838693</v>
      </c>
      <c r="I22" s="1284"/>
      <c r="J22" s="1284">
        <f t="shared" si="2"/>
        <v>-395341.21473765024</v>
      </c>
      <c r="K22" s="1285"/>
      <c r="L22" s="1286">
        <f>+'OKT WS Q Interest Rate'!E16</f>
        <v>2.7000000000000001E-3</v>
      </c>
      <c r="M22" s="1287"/>
      <c r="N22" s="1284">
        <f t="shared" si="1"/>
        <v>-1067.4212797916557</v>
      </c>
      <c r="O22" s="1284"/>
      <c r="P22" s="1284"/>
      <c r="Q22" s="1284"/>
      <c r="R22" s="1284">
        <f>SUM($D$19:D22)+SUM($N$19:N22)</f>
        <v>-527834.1919290307</v>
      </c>
      <c r="T22" s="394">
        <v>4</v>
      </c>
    </row>
    <row r="23" spans="2:20" ht="15.75">
      <c r="B23" s="1283">
        <f t="shared" si="0"/>
        <v>44682</v>
      </c>
      <c r="C23" s="1249"/>
      <c r="D23" s="1284">
        <f t="shared" ref="D23:D28" si="4">+D22</f>
        <v>-131425.5559115888</v>
      </c>
      <c r="E23" s="1285"/>
      <c r="F23" s="1284">
        <f t="shared" si="3"/>
        <v>-525702.22364635521</v>
      </c>
      <c r="G23" s="1284"/>
      <c r="H23" s="1284">
        <f t="shared" ref="H23:H24" si="5">SUM($N$19:$N$21)</f>
        <v>-1064.5470028838693</v>
      </c>
      <c r="I23" s="1284"/>
      <c r="J23" s="1284">
        <f t="shared" si="2"/>
        <v>-526766.77064923907</v>
      </c>
      <c r="K23" s="1285"/>
      <c r="L23" s="1286">
        <f>+'OKT WS Q Interest Rate'!E17</f>
        <v>2.8E-3</v>
      </c>
      <c r="M23" s="1287"/>
      <c r="N23" s="1284">
        <f t="shared" si="1"/>
        <v>-1474.9469578178694</v>
      </c>
      <c r="O23" s="1284"/>
      <c r="P23" s="1284"/>
      <c r="Q23" s="1284"/>
      <c r="R23" s="1284">
        <f>SUM($D$19:D23)+SUM($N$19:N23)</f>
        <v>-660734.69479843741</v>
      </c>
      <c r="T23" s="394">
        <v>5</v>
      </c>
    </row>
    <row r="24" spans="2:20" ht="15.75">
      <c r="B24" s="1283">
        <f t="shared" si="0"/>
        <v>44713</v>
      </c>
      <c r="C24" s="1249"/>
      <c r="D24" s="1284">
        <f t="shared" si="4"/>
        <v>-131425.5559115888</v>
      </c>
      <c r="E24" s="1285"/>
      <c r="F24" s="1284">
        <f t="shared" si="3"/>
        <v>-657127.77955794404</v>
      </c>
      <c r="G24" s="1284"/>
      <c r="H24" s="1284">
        <f t="shared" si="5"/>
        <v>-1064.5470028838693</v>
      </c>
      <c r="I24" s="1284"/>
      <c r="J24" s="1284">
        <f t="shared" si="2"/>
        <v>-658192.3265608279</v>
      </c>
      <c r="K24" s="1285"/>
      <c r="L24" s="1286">
        <f>+'OKT WS Q Interest Rate'!E18</f>
        <v>2.7000000000000001E-3</v>
      </c>
      <c r="M24" s="1287"/>
      <c r="N24" s="1284">
        <f t="shared" si="1"/>
        <v>-1777.1192817142355</v>
      </c>
      <c r="O24" s="1284"/>
      <c r="P24" s="1284"/>
      <c r="Q24" s="1284"/>
      <c r="R24" s="1284">
        <f>SUM($D$19:D24)+SUM($N$19:N24)</f>
        <v>-793937.36999174056</v>
      </c>
      <c r="T24" s="394">
        <v>6</v>
      </c>
    </row>
    <row r="25" spans="2:20" ht="15.75">
      <c r="B25" s="1283">
        <f t="shared" si="0"/>
        <v>44743</v>
      </c>
      <c r="C25" s="1249"/>
      <c r="D25" s="1284">
        <f t="shared" si="4"/>
        <v>-131425.5559115888</v>
      </c>
      <c r="E25" s="1285"/>
      <c r="F25" s="1284">
        <f t="shared" si="3"/>
        <v>-788553.33546953287</v>
      </c>
      <c r="G25" s="1284"/>
      <c r="H25" s="1284">
        <f>$H$24+SUM($N$22:$N$24)</f>
        <v>-5384.0345222076294</v>
      </c>
      <c r="I25" s="1284"/>
      <c r="J25" s="1284">
        <f t="shared" si="2"/>
        <v>-793937.36999174056</v>
      </c>
      <c r="K25" s="1285"/>
      <c r="L25" s="1286">
        <f>+'OKT WS Q Interest Rate'!E19</f>
        <v>3.0999999999999999E-3</v>
      </c>
      <c r="M25" s="1287"/>
      <c r="N25" s="1284">
        <f t="shared" si="1"/>
        <v>-2461.2058469743956</v>
      </c>
      <c r="O25" s="1284"/>
      <c r="P25" s="1284"/>
      <c r="Q25" s="1284"/>
      <c r="R25" s="1284">
        <f>SUM($D$19:D25)+SUM($N$19:N25)</f>
        <v>-927824.13175030379</v>
      </c>
      <c r="T25" s="394">
        <v>7</v>
      </c>
    </row>
    <row r="26" spans="2:20" ht="15.75">
      <c r="B26" s="1283">
        <f t="shared" si="0"/>
        <v>44774</v>
      </c>
      <c r="C26" s="1249"/>
      <c r="D26" s="1284">
        <f t="shared" si="4"/>
        <v>-131425.5559115888</v>
      </c>
      <c r="E26" s="1285"/>
      <c r="F26" s="1284">
        <f t="shared" si="3"/>
        <v>-919978.89138112171</v>
      </c>
      <c r="G26" s="1284"/>
      <c r="H26" s="1284">
        <f>$H$24+SUM($N$22:$N$24)</f>
        <v>-5384.0345222076294</v>
      </c>
      <c r="I26" s="1284"/>
      <c r="J26" s="1284">
        <f t="shared" si="2"/>
        <v>-925362.92590332939</v>
      </c>
      <c r="K26" s="1285"/>
      <c r="L26" s="1286">
        <f>+'OKT WS Q Interest Rate'!E20</f>
        <v>3.0999999999999999E-3</v>
      </c>
      <c r="M26" s="1287"/>
      <c r="N26" s="1284">
        <f t="shared" si="1"/>
        <v>-2868.6250703003211</v>
      </c>
      <c r="O26" s="1284"/>
      <c r="P26" s="1284"/>
      <c r="Q26" s="1284"/>
      <c r="R26" s="1284">
        <f>SUM($D$19:D26)+SUM($N$19:N26)</f>
        <v>-1062118.3127321927</v>
      </c>
      <c r="T26" s="394">
        <v>8</v>
      </c>
    </row>
    <row r="27" spans="2:20" ht="15.75">
      <c r="B27" s="1283">
        <f t="shared" si="0"/>
        <v>44805</v>
      </c>
      <c r="C27" s="1249"/>
      <c r="D27" s="1284">
        <f t="shared" si="4"/>
        <v>-131425.5559115888</v>
      </c>
      <c r="E27" s="1285"/>
      <c r="F27" s="1284">
        <f t="shared" si="3"/>
        <v>-1051404.4472927104</v>
      </c>
      <c r="G27" s="1284"/>
      <c r="H27" s="1284">
        <f>$H$24+SUM($N$22:$N$24)</f>
        <v>-5384.0345222076294</v>
      </c>
      <c r="I27" s="1284"/>
      <c r="J27" s="1284">
        <f t="shared" si="2"/>
        <v>-1056788.4818149181</v>
      </c>
      <c r="K27" s="1285"/>
      <c r="L27" s="1286">
        <f>+'OKT WS Q Interest Rate'!E21</f>
        <v>3.0000000000000001E-3</v>
      </c>
      <c r="M27" s="1287"/>
      <c r="N27" s="1284">
        <f t="shared" si="1"/>
        <v>-3170.3654454447542</v>
      </c>
      <c r="O27" s="1284"/>
      <c r="P27" s="1284"/>
      <c r="Q27" s="1284"/>
      <c r="R27" s="1284">
        <f>SUM($D$19:D27)+SUM($N$19:N27)</f>
        <v>-1196714.2340892262</v>
      </c>
      <c r="T27" s="394">
        <v>9</v>
      </c>
    </row>
    <row r="28" spans="2:20" ht="15.75">
      <c r="B28" s="1283">
        <f t="shared" si="0"/>
        <v>44835</v>
      </c>
      <c r="C28" s="1249"/>
      <c r="D28" s="1284">
        <f t="shared" si="4"/>
        <v>-131425.5559115888</v>
      </c>
      <c r="E28" s="1285"/>
      <c r="F28" s="1284">
        <f t="shared" si="3"/>
        <v>-1182830.0032042991</v>
      </c>
      <c r="G28" s="1284"/>
      <c r="H28" s="1284">
        <f>$H$27+SUM($N$25:$N$27)</f>
        <v>-13884.230884927099</v>
      </c>
      <c r="I28" s="1284"/>
      <c r="J28" s="1284">
        <f t="shared" si="2"/>
        <v>-1196714.2340892262</v>
      </c>
      <c r="K28" s="1285"/>
      <c r="L28" s="1286">
        <f>+'OKT WS Q Interest Rate'!E22</f>
        <v>4.1999999999999997E-3</v>
      </c>
      <c r="M28" s="1287"/>
      <c r="N28" s="1284">
        <f t="shared" si="1"/>
        <v>-5026.1997831747494</v>
      </c>
      <c r="O28" s="1284"/>
      <c r="P28" s="1284"/>
      <c r="Q28" s="1284"/>
      <c r="R28" s="1284">
        <f>SUM($D$19:D28)+SUM($N$19:N28)</f>
        <v>-1333165.9897839897</v>
      </c>
      <c r="T28" s="394">
        <v>10</v>
      </c>
    </row>
    <row r="29" spans="2:20" ht="15.75">
      <c r="B29" s="1283">
        <f t="shared" si="0"/>
        <v>44866</v>
      </c>
      <c r="C29" s="1249"/>
      <c r="D29" s="1284">
        <f>+D28</f>
        <v>-131425.5559115888</v>
      </c>
      <c r="E29" s="1285"/>
      <c r="F29" s="1284">
        <f>D28+F28</f>
        <v>-1314255.5591158879</v>
      </c>
      <c r="G29" s="1284"/>
      <c r="H29" s="1284">
        <f>$H$27+SUM($N$25:$N$27)</f>
        <v>-13884.230884927099</v>
      </c>
      <c r="I29" s="1284"/>
      <c r="J29" s="1284">
        <f t="shared" si="2"/>
        <v>-1328139.7900008149</v>
      </c>
      <c r="K29" s="1285"/>
      <c r="L29" s="1286">
        <f>+'OKT WS Q Interest Rate'!E23</f>
        <v>4.0000000000000001E-3</v>
      </c>
      <c r="M29" s="1287"/>
      <c r="N29" s="1284">
        <f t="shared" si="1"/>
        <v>-5312.5591600032603</v>
      </c>
      <c r="O29" s="1284"/>
      <c r="P29" s="1284"/>
      <c r="Q29" s="1284"/>
      <c r="R29" s="1284">
        <f>SUM($D$19:D29)+SUM($N$19:N29)</f>
        <v>-1469904.1048555817</v>
      </c>
      <c r="T29" s="394">
        <v>11</v>
      </c>
    </row>
    <row r="30" spans="2:20" ht="15.75">
      <c r="B30" s="1283">
        <f t="shared" si="0"/>
        <v>44896</v>
      </c>
      <c r="C30" s="1249"/>
      <c r="D30" s="1284">
        <f>+D29</f>
        <v>-131425.5559115888</v>
      </c>
      <c r="E30" s="1285"/>
      <c r="F30" s="1284">
        <f>D29+F29</f>
        <v>-1445681.1150274766</v>
      </c>
      <c r="G30" s="1284"/>
      <c r="H30" s="1284">
        <f>$H$27+SUM($N$25:$N$27)</f>
        <v>-13884.230884927099</v>
      </c>
      <c r="I30" s="1284"/>
      <c r="J30" s="1284">
        <f>F30+H30</f>
        <v>-1459565.3459124037</v>
      </c>
      <c r="K30" s="1285"/>
      <c r="L30" s="1286">
        <f>+'OKT WS Q Interest Rate'!E24</f>
        <v>4.1999999999999997E-3</v>
      </c>
      <c r="M30" s="1287"/>
      <c r="N30" s="1284">
        <f t="shared" si="1"/>
        <v>-6130.1744528320951</v>
      </c>
      <c r="O30" s="1288"/>
      <c r="P30" s="1284"/>
      <c r="Q30" s="1284"/>
      <c r="R30" s="1284">
        <f>SUM($D$19:D30)+SUM($N$19:N30)</f>
        <v>-1607459.8352200026</v>
      </c>
      <c r="T30" s="394">
        <v>12</v>
      </c>
    </row>
    <row r="31" spans="2:20" ht="15.75">
      <c r="B31" s="1249"/>
      <c r="C31" s="1249"/>
      <c r="D31" s="1284"/>
      <c r="E31" s="1285"/>
      <c r="F31" s="1284"/>
      <c r="G31" s="1284"/>
      <c r="H31" s="1284"/>
      <c r="I31" s="1284"/>
      <c r="J31" s="1284"/>
      <c r="K31" s="1285"/>
      <c r="L31" s="1268"/>
      <c r="M31" s="1249"/>
      <c r="N31" s="1288"/>
      <c r="O31" s="1288"/>
      <c r="P31" s="1284"/>
      <c r="Q31" s="1284"/>
      <c r="R31" s="1289"/>
    </row>
    <row r="32" spans="2:20" ht="15.75">
      <c r="B32" s="1282" t="s">
        <v>685</v>
      </c>
      <c r="C32" s="1249"/>
      <c r="D32" s="1284"/>
      <c r="E32" s="1285"/>
      <c r="F32" s="1284"/>
      <c r="G32" s="1284"/>
      <c r="H32" s="1284"/>
      <c r="I32" s="1284"/>
      <c r="J32" s="1284"/>
      <c r="K32" s="1285"/>
      <c r="L32" s="1268"/>
      <c r="M32" s="1249"/>
      <c r="N32" s="1284"/>
      <c r="O32" s="1284"/>
      <c r="P32" s="1284" t="s">
        <v>251</v>
      </c>
      <c r="Q32" s="1284"/>
      <c r="R32" s="1290"/>
    </row>
    <row r="33" spans="2:20" ht="15.75">
      <c r="B33" s="1283">
        <f t="shared" ref="B33:B44" si="6">DATE($J$10,T33,1)</f>
        <v>44927</v>
      </c>
      <c r="C33" s="1249"/>
      <c r="D33" s="1284">
        <v>0</v>
      </c>
      <c r="E33" s="1285"/>
      <c r="F33" s="1284">
        <f>D30+F30</f>
        <v>-1577106.6709390653</v>
      </c>
      <c r="G33" s="1284"/>
      <c r="H33" s="1284">
        <f>$H$30+SUM($N$28:$N$30)</f>
        <v>-30353.164280937206</v>
      </c>
      <c r="I33" s="1284"/>
      <c r="J33" s="1284">
        <f>F33+H33</f>
        <v>-1607459.8352200026</v>
      </c>
      <c r="K33" s="1285"/>
      <c r="L33" s="1286">
        <f>+'OKT WS Q Interest Rate'!E25</f>
        <v>5.4000000000000003E-3</v>
      </c>
      <c r="M33" s="1287"/>
      <c r="N33" s="1284">
        <f t="shared" ref="N33:N44" si="7">J33*L33</f>
        <v>-8680.2831101880147</v>
      </c>
      <c r="O33" s="1284"/>
      <c r="P33" s="1284"/>
      <c r="Q33" s="1284"/>
      <c r="R33" s="1284">
        <f>SUM($D$19:D33)+SUM($N$19:N33)</f>
        <v>-1616140.1183301904</v>
      </c>
      <c r="T33" s="394">
        <v>1</v>
      </c>
    </row>
    <row r="34" spans="2:20" ht="15.75">
      <c r="B34" s="1283">
        <f t="shared" si="6"/>
        <v>44958</v>
      </c>
      <c r="C34" s="1249"/>
      <c r="D34" s="1284">
        <v>0</v>
      </c>
      <c r="E34" s="1285"/>
      <c r="F34" s="1284">
        <f>D33+F33</f>
        <v>-1577106.6709390653</v>
      </c>
      <c r="G34" s="1284"/>
      <c r="H34" s="1284">
        <f>$H$30+SUM($N$28:$N$30)</f>
        <v>-30353.164280937206</v>
      </c>
      <c r="I34" s="1284"/>
      <c r="J34" s="1284">
        <f>F34+H34</f>
        <v>-1607459.8352200026</v>
      </c>
      <c r="K34" s="1285"/>
      <c r="L34" s="1286">
        <f>+'OKT WS Q Interest Rate'!E26</f>
        <v>4.7999999999999996E-3</v>
      </c>
      <c r="M34" s="1287"/>
      <c r="N34" s="1284">
        <f t="shared" si="7"/>
        <v>-7715.8072090560117</v>
      </c>
      <c r="O34" s="1284"/>
      <c r="P34" s="1284"/>
      <c r="Q34" s="1284"/>
      <c r="R34" s="1284">
        <f>SUM($D$19:D34)+SUM($N$19:N34)</f>
        <v>-1623855.9255392465</v>
      </c>
      <c r="T34" s="394">
        <v>2</v>
      </c>
    </row>
    <row r="35" spans="2:20" ht="15.75">
      <c r="B35" s="1283">
        <f t="shared" si="6"/>
        <v>44986</v>
      </c>
      <c r="C35" s="1249"/>
      <c r="D35" s="1284">
        <v>0</v>
      </c>
      <c r="E35" s="1285"/>
      <c r="F35" s="1284">
        <f t="shared" ref="F35:F43" si="8">D34+F34</f>
        <v>-1577106.6709390653</v>
      </c>
      <c r="G35" s="1284"/>
      <c r="H35" s="1284">
        <f>$H$30+SUM($N$28:$N$30)</f>
        <v>-30353.164280937206</v>
      </c>
      <c r="I35" s="1284"/>
      <c r="J35" s="1284">
        <f t="shared" ref="J35:J41" si="9">F35+H35</f>
        <v>-1607459.8352200026</v>
      </c>
      <c r="K35" s="1285"/>
      <c r="L35" s="1286">
        <f>+'OKT WS Q Interest Rate'!E27</f>
        <v>5.4000000000000003E-3</v>
      </c>
      <c r="M35" s="1287"/>
      <c r="N35" s="1284">
        <f t="shared" si="7"/>
        <v>-8680.2831101880147</v>
      </c>
      <c r="O35" s="1284"/>
      <c r="P35" s="1284"/>
      <c r="Q35" s="1284"/>
      <c r="R35" s="1284">
        <f>SUM($D$19:D35)+SUM($N$19:N35)</f>
        <v>-1632536.2086494346</v>
      </c>
      <c r="T35" s="394">
        <v>3</v>
      </c>
    </row>
    <row r="36" spans="2:20" ht="15.75">
      <c r="B36" s="1283">
        <f t="shared" si="6"/>
        <v>45017</v>
      </c>
      <c r="C36" s="1249"/>
      <c r="D36" s="1284">
        <v>0</v>
      </c>
      <c r="E36" s="1285"/>
      <c r="F36" s="1284">
        <f t="shared" si="8"/>
        <v>-1577106.6709390653</v>
      </c>
      <c r="G36" s="1284"/>
      <c r="H36" s="1284">
        <f>$H$35+SUM($N$33:$N$35)</f>
        <v>-55429.537710369244</v>
      </c>
      <c r="I36" s="1284"/>
      <c r="J36" s="1284">
        <f>F36+H36</f>
        <v>-1632536.2086494346</v>
      </c>
      <c r="K36" s="1285"/>
      <c r="L36" s="1286">
        <f>+'OKT WS Q Interest Rate'!E28</f>
        <v>6.1999999999999998E-3</v>
      </c>
      <c r="M36" s="1287"/>
      <c r="N36" s="1284">
        <f t="shared" si="7"/>
        <v>-10121.724493626494</v>
      </c>
      <c r="O36" s="1284"/>
      <c r="P36" s="1284"/>
      <c r="Q36" s="1284"/>
      <c r="R36" s="1284">
        <f>SUM($D$19:D36)+SUM($N$19:N36)</f>
        <v>-1642657.9331430611</v>
      </c>
      <c r="T36" s="394">
        <v>4</v>
      </c>
    </row>
    <row r="37" spans="2:20" ht="15.75">
      <c r="B37" s="1283">
        <f t="shared" si="6"/>
        <v>45047</v>
      </c>
      <c r="C37" s="1249"/>
      <c r="D37" s="1284">
        <v>0</v>
      </c>
      <c r="E37" s="1285"/>
      <c r="F37" s="1284">
        <f t="shared" si="8"/>
        <v>-1577106.6709390653</v>
      </c>
      <c r="G37" s="1284"/>
      <c r="H37" s="1284">
        <f>$H$35+SUM($N$33:$N$35)</f>
        <v>-55429.537710369244</v>
      </c>
      <c r="I37" s="1284"/>
      <c r="J37" s="1284">
        <f t="shared" si="9"/>
        <v>-1632536.2086494346</v>
      </c>
      <c r="K37" s="1285"/>
      <c r="L37" s="1286">
        <f>+'OKT WS Q Interest Rate'!E29</f>
        <v>6.4000000000000003E-3</v>
      </c>
      <c r="M37" s="1287"/>
      <c r="N37" s="1284">
        <f t="shared" si="7"/>
        <v>-10448.231735356381</v>
      </c>
      <c r="O37" s="1284"/>
      <c r="P37" s="1284"/>
      <c r="Q37" s="1284"/>
      <c r="R37" s="1284">
        <f>SUM($D$19:D37)+SUM($N$19:N37)</f>
        <v>-1653106.1648784175</v>
      </c>
      <c r="T37" s="394">
        <v>5</v>
      </c>
    </row>
    <row r="38" spans="2:20" ht="15.75">
      <c r="B38" s="1283">
        <f t="shared" si="6"/>
        <v>45078</v>
      </c>
      <c r="C38" s="1249"/>
      <c r="D38" s="1284">
        <v>0</v>
      </c>
      <c r="E38" s="1285"/>
      <c r="F38" s="1284">
        <f t="shared" si="8"/>
        <v>-1577106.6709390653</v>
      </c>
      <c r="G38" s="1284"/>
      <c r="H38" s="1284">
        <f>$H$35+SUM($N$33:$N$35)</f>
        <v>-55429.537710369244</v>
      </c>
      <c r="I38" s="1284"/>
      <c r="J38" s="1284">
        <f t="shared" si="9"/>
        <v>-1632536.2086494346</v>
      </c>
      <c r="K38" s="1285"/>
      <c r="L38" s="1286">
        <f>+'OKT WS Q Interest Rate'!E30</f>
        <v>6.1999999999999998E-3</v>
      </c>
      <c r="M38" s="1287"/>
      <c r="N38" s="1284">
        <f t="shared" si="7"/>
        <v>-10121.724493626494</v>
      </c>
      <c r="O38" s="1284"/>
      <c r="P38" s="1284"/>
      <c r="Q38" s="1284"/>
      <c r="R38" s="1284">
        <f>SUM($D$19:D38)+SUM($N$19:N38)</f>
        <v>-1663227.8893720438</v>
      </c>
      <c r="T38" s="394">
        <v>6</v>
      </c>
    </row>
    <row r="39" spans="2:20" ht="15.75">
      <c r="B39" s="1283">
        <f t="shared" si="6"/>
        <v>45108</v>
      </c>
      <c r="C39" s="1249"/>
      <c r="D39" s="1284">
        <v>0</v>
      </c>
      <c r="E39" s="1285"/>
      <c r="F39" s="1284">
        <f t="shared" si="8"/>
        <v>-1577106.6709390653</v>
      </c>
      <c r="G39" s="1284"/>
      <c r="H39" s="1284">
        <f>$H$38+SUM($N$36:$N$38)</f>
        <v>-86121.218432978611</v>
      </c>
      <c r="I39" s="1284"/>
      <c r="J39" s="1284">
        <f>F39+H39</f>
        <v>-1663227.8893720438</v>
      </c>
      <c r="K39" s="1285"/>
      <c r="L39" s="1286">
        <f>+'OKT WS Q Interest Rate'!E31</f>
        <v>6.1999999999999998E-3</v>
      </c>
      <c r="M39" s="1287"/>
      <c r="N39" s="1284">
        <f t="shared" si="7"/>
        <v>-10312.012914106672</v>
      </c>
      <c r="O39" s="1284"/>
      <c r="P39" s="1284"/>
      <c r="Q39" s="1284"/>
      <c r="R39" s="1284">
        <f>SUM($D$19:D39)+SUM($N$19:N39)</f>
        <v>-1673539.9022861505</v>
      </c>
      <c r="T39" s="394">
        <v>7</v>
      </c>
    </row>
    <row r="40" spans="2:20" ht="15.75">
      <c r="B40" s="1283">
        <f t="shared" si="6"/>
        <v>45139</v>
      </c>
      <c r="C40" s="1249"/>
      <c r="D40" s="1284">
        <v>0</v>
      </c>
      <c r="E40" s="1285"/>
      <c r="F40" s="1284">
        <f t="shared" si="8"/>
        <v>-1577106.6709390653</v>
      </c>
      <c r="G40" s="1284"/>
      <c r="H40" s="1284">
        <f>$H$38+SUM($N$36:$N$38)</f>
        <v>-86121.218432978611</v>
      </c>
      <c r="I40" s="1284"/>
      <c r="J40" s="1284">
        <f t="shared" si="9"/>
        <v>-1663227.8893720438</v>
      </c>
      <c r="K40" s="1285"/>
      <c r="L40" s="1286">
        <f>+'OKT WS Q Interest Rate'!E32</f>
        <v>6.1999999999999998E-3</v>
      </c>
      <c r="M40" s="1287"/>
      <c r="N40" s="1284">
        <f t="shared" si="7"/>
        <v>-10312.012914106672</v>
      </c>
      <c r="O40" s="1284"/>
      <c r="P40" s="1284"/>
      <c r="Q40" s="1284"/>
      <c r="R40" s="1284">
        <f>SUM($D$19:D40)+SUM($N$19:N40)</f>
        <v>-1683851.9152002572</v>
      </c>
      <c r="T40" s="394">
        <v>8</v>
      </c>
    </row>
    <row r="41" spans="2:20" ht="15.75">
      <c r="B41" s="1283">
        <f t="shared" si="6"/>
        <v>45170</v>
      </c>
      <c r="C41" s="1249"/>
      <c r="D41" s="1284">
        <v>0</v>
      </c>
      <c r="E41" s="1285"/>
      <c r="F41" s="1284">
        <f t="shared" si="8"/>
        <v>-1577106.6709390653</v>
      </c>
      <c r="G41" s="1284"/>
      <c r="H41" s="1284">
        <f>$H$38+SUM($N$36:$N$38)</f>
        <v>-86121.218432978611</v>
      </c>
      <c r="I41" s="1284"/>
      <c r="J41" s="1284">
        <f t="shared" si="9"/>
        <v>-1663227.8893720438</v>
      </c>
      <c r="K41" s="1285"/>
      <c r="L41" s="1286">
        <f>+'OKT WS Q Interest Rate'!E33</f>
        <v>6.1999999999999998E-3</v>
      </c>
      <c r="M41" s="1287"/>
      <c r="N41" s="1284">
        <f t="shared" si="7"/>
        <v>-10312.012914106672</v>
      </c>
      <c r="O41" s="1284"/>
      <c r="P41" s="1284"/>
      <c r="Q41" s="1284"/>
      <c r="R41" s="1284">
        <f>SUM($D$19:D41)+SUM($N$19:N41)</f>
        <v>-1694163.9281143639</v>
      </c>
      <c r="T41" s="394">
        <v>9</v>
      </c>
    </row>
    <row r="42" spans="2:20" ht="15.75">
      <c r="B42" s="1283">
        <f t="shared" si="6"/>
        <v>45200</v>
      </c>
      <c r="C42" s="1249"/>
      <c r="D42" s="1284">
        <v>0</v>
      </c>
      <c r="E42" s="1285"/>
      <c r="F42" s="1284">
        <f t="shared" si="8"/>
        <v>-1577106.6709390653</v>
      </c>
      <c r="G42" s="1284"/>
      <c r="H42" s="1284">
        <f>$H$41+SUM($N$39:$N$41)</f>
        <v>-117057.25717529863</v>
      </c>
      <c r="I42" s="1284"/>
      <c r="J42" s="1284">
        <f>F42+H42</f>
        <v>-1694163.9281143639</v>
      </c>
      <c r="K42" s="1285"/>
      <c r="L42" s="1286">
        <f>+'OKT WS Q Interest Rate'!E34</f>
        <v>6.1999999999999998E-3</v>
      </c>
      <c r="M42" s="1287"/>
      <c r="N42" s="1284">
        <f t="shared" si="7"/>
        <v>-10503.816354309056</v>
      </c>
      <c r="O42" s="1284"/>
      <c r="P42" s="1284"/>
      <c r="Q42" s="1284"/>
      <c r="R42" s="1284">
        <f>SUM($D$19:D42)+SUM($N$19:N42)</f>
        <v>-1704667.7444686729</v>
      </c>
      <c r="T42" s="394">
        <v>10</v>
      </c>
    </row>
    <row r="43" spans="2:20" ht="15.75">
      <c r="B43" s="1283">
        <f t="shared" si="6"/>
        <v>45231</v>
      </c>
      <c r="C43" s="1249"/>
      <c r="D43" s="1284">
        <v>0</v>
      </c>
      <c r="E43" s="1285"/>
      <c r="F43" s="1284">
        <f t="shared" si="8"/>
        <v>-1577106.6709390653</v>
      </c>
      <c r="G43" s="1284"/>
      <c r="H43" s="1284">
        <f>$H$41+SUM($N$39:$N$41)</f>
        <v>-117057.25717529863</v>
      </c>
      <c r="I43" s="1284"/>
      <c r="J43" s="1284">
        <f>F43+H43</f>
        <v>-1694163.9281143639</v>
      </c>
      <c r="K43" s="1285"/>
      <c r="L43" s="1286">
        <f>+'OKT WS Q Interest Rate'!E35</f>
        <v>6.1999999999999998E-3</v>
      </c>
      <c r="M43" s="1287"/>
      <c r="N43" s="1284">
        <f t="shared" si="7"/>
        <v>-10503.816354309056</v>
      </c>
      <c r="O43" s="1284"/>
      <c r="P43" s="1284"/>
      <c r="Q43" s="1284"/>
      <c r="R43" s="1284">
        <f>SUM($D$19:D43)+SUM($N$19:N43)</f>
        <v>-1715171.5608229821</v>
      </c>
      <c r="T43" s="394">
        <v>11</v>
      </c>
    </row>
    <row r="44" spans="2:20" ht="15.75">
      <c r="B44" s="1283">
        <f t="shared" si="6"/>
        <v>45261</v>
      </c>
      <c r="C44" s="1249"/>
      <c r="D44" s="1284">
        <v>0</v>
      </c>
      <c r="E44" s="1285"/>
      <c r="F44" s="1284">
        <f>D43+F43</f>
        <v>-1577106.6709390653</v>
      </c>
      <c r="G44" s="1284"/>
      <c r="H44" s="1284">
        <f>$H$41+SUM($N$39:$N$41)</f>
        <v>-117057.25717529863</v>
      </c>
      <c r="I44" s="1284"/>
      <c r="J44" s="1284">
        <f>F44+H44</f>
        <v>-1694163.9281143639</v>
      </c>
      <c r="K44" s="1285"/>
      <c r="L44" s="1286">
        <f>+'OKT WS Q Interest Rate'!E36</f>
        <v>6.1999999999999998E-3</v>
      </c>
      <c r="M44" s="1287"/>
      <c r="N44" s="1284">
        <f t="shared" si="7"/>
        <v>-10503.816354309056</v>
      </c>
      <c r="O44" s="1288"/>
      <c r="P44" s="1284"/>
      <c r="Q44" s="1284"/>
      <c r="R44" s="1284">
        <f>SUM($D$19:D44)+SUM($N$19:N44)</f>
        <v>-1725675.3771772911</v>
      </c>
      <c r="T44" s="394">
        <v>12</v>
      </c>
    </row>
    <row r="45" spans="2:20" ht="15.75">
      <c r="B45" s="1249"/>
      <c r="C45" s="1249"/>
      <c r="D45" s="1284"/>
      <c r="E45" s="1266"/>
      <c r="F45" s="1284"/>
      <c r="G45" s="1284"/>
      <c r="H45" s="1284"/>
      <c r="I45" s="1284"/>
      <c r="J45" s="1284"/>
      <c r="K45" s="1266"/>
      <c r="L45" s="1268"/>
      <c r="M45" s="1249"/>
      <c r="N45" s="1291"/>
      <c r="O45" s="1291"/>
      <c r="P45" s="1284"/>
      <c r="Q45" s="1284"/>
      <c r="R45" s="1284"/>
      <c r="T45" s="1292"/>
    </row>
    <row r="46" spans="2:20" ht="15.75">
      <c r="B46" s="1293" t="s">
        <v>686</v>
      </c>
      <c r="C46" s="1249"/>
      <c r="D46" s="1284"/>
      <c r="E46" s="1285"/>
      <c r="F46" s="1284"/>
      <c r="G46" s="1284"/>
      <c r="H46" s="1284"/>
      <c r="I46" s="1284"/>
      <c r="J46" s="1284"/>
      <c r="K46" s="1285"/>
      <c r="L46" s="1268"/>
      <c r="M46" s="1249"/>
      <c r="N46" s="1294"/>
      <c r="O46" s="1294"/>
      <c r="P46" s="1284"/>
      <c r="Q46" s="1284"/>
      <c r="R46" s="1284"/>
    </row>
    <row r="47" spans="2:20" ht="15.75">
      <c r="B47" s="1295" t="s">
        <v>415</v>
      </c>
      <c r="C47" s="1249"/>
      <c r="D47" s="1284"/>
      <c r="E47" s="1285"/>
      <c r="F47" s="1284"/>
      <c r="G47" s="1284"/>
      <c r="H47" s="1284"/>
      <c r="I47" s="1284"/>
      <c r="J47" s="1284"/>
      <c r="K47" s="1285"/>
      <c r="L47" s="1268"/>
      <c r="M47" s="1249"/>
      <c r="N47" s="1294"/>
      <c r="O47" s="1294"/>
      <c r="P47" s="1284"/>
      <c r="Q47" s="1284"/>
      <c r="R47" s="1284"/>
    </row>
    <row r="48" spans="2:20" ht="15.75">
      <c r="B48" s="1283">
        <f t="shared" ref="B48:B59" si="10">DATE($J$11,T48,1)</f>
        <v>45292</v>
      </c>
      <c r="C48" s="1249"/>
      <c r="D48" s="1284">
        <v>0</v>
      </c>
      <c r="E48" s="1296"/>
      <c r="F48" s="1284">
        <f>D44+F44</f>
        <v>-1577106.6709390653</v>
      </c>
      <c r="G48" s="1289"/>
      <c r="H48" s="1284">
        <f>$H$44+SUM($N$42:$N$44)</f>
        <v>-148568.7062382258</v>
      </c>
      <c r="I48" s="1284"/>
      <c r="J48" s="1284">
        <f>F48+H48</f>
        <v>-1725675.3771772911</v>
      </c>
      <c r="K48" s="1266"/>
      <c r="L48" s="1286">
        <f>+'OKT WS Q Interest Rate'!$E$39</f>
        <v>5.9666666666666653E-3</v>
      </c>
      <c r="M48" s="1249"/>
      <c r="N48" s="1284">
        <f t="shared" ref="N48:N59" si="11">J48*L48</f>
        <v>-10296.529750491167</v>
      </c>
      <c r="O48" s="1284"/>
      <c r="P48" s="1284">
        <f>PMT(L48,12,$R$44)</f>
        <v>149444.39120976755</v>
      </c>
      <c r="Q48" s="1284"/>
      <c r="R48" s="1284">
        <f>SUM($D$19:D48)+SUM($N$19:N48)+SUM($P$48:P48)</f>
        <v>-1586527.5157180149</v>
      </c>
      <c r="T48" s="394">
        <v>1</v>
      </c>
    </row>
    <row r="49" spans="2:20" ht="15.75">
      <c r="B49" s="1283">
        <f t="shared" si="10"/>
        <v>45323</v>
      </c>
      <c r="C49" s="1249"/>
      <c r="D49" s="1284">
        <v>0</v>
      </c>
      <c r="E49" s="1266"/>
      <c r="F49" s="1284">
        <f>D48+F48</f>
        <v>-1577106.6709390653</v>
      </c>
      <c r="G49" s="1284"/>
      <c r="H49" s="1284">
        <f>$H$44+SUM($N$42:$N$44)</f>
        <v>-148568.7062382258</v>
      </c>
      <c r="I49" s="1284"/>
      <c r="J49" s="1284">
        <f>R48</f>
        <v>-1586527.5157180149</v>
      </c>
      <c r="K49" s="1266"/>
      <c r="L49" s="1286">
        <f>+'OKT WS Q Interest Rate'!$E$39</f>
        <v>5.9666666666666653E-3</v>
      </c>
      <c r="M49" s="1249"/>
      <c r="N49" s="1284">
        <f t="shared" si="11"/>
        <v>-9466.2808437841541</v>
      </c>
      <c r="O49" s="1284"/>
      <c r="P49" s="1284">
        <f t="shared" ref="P49:P59" si="12">PMT(L49,12,$R$44)</f>
        <v>149444.39120976755</v>
      </c>
      <c r="Q49" s="1284"/>
      <c r="R49" s="1284">
        <f>SUM($D$19:D49)+SUM($N$19:N49)+SUM($P$48:P49)</f>
        <v>-1446549.4053520313</v>
      </c>
      <c r="T49" s="394">
        <v>2</v>
      </c>
    </row>
    <row r="50" spans="2:20" ht="15.75">
      <c r="B50" s="1283">
        <f t="shared" si="10"/>
        <v>45352</v>
      </c>
      <c r="C50" s="1249"/>
      <c r="D50" s="1284">
        <v>0</v>
      </c>
      <c r="E50" s="1266"/>
      <c r="F50" s="1284">
        <f t="shared" ref="F50:F58" si="13">D49+F49</f>
        <v>-1577106.6709390653</v>
      </c>
      <c r="G50" s="1284"/>
      <c r="H50" s="1284">
        <f>$H$44+SUM($N$42:$N$44)</f>
        <v>-148568.7062382258</v>
      </c>
      <c r="I50" s="1284"/>
      <c r="J50" s="1284">
        <f t="shared" ref="J50:J59" si="14">R49</f>
        <v>-1446549.4053520313</v>
      </c>
      <c r="K50" s="1266"/>
      <c r="L50" s="1286">
        <f>+'OKT WS Q Interest Rate'!$E$39</f>
        <v>5.9666666666666653E-3</v>
      </c>
      <c r="M50" s="1249"/>
      <c r="N50" s="1284">
        <f t="shared" si="11"/>
        <v>-8631.0781186004515</v>
      </c>
      <c r="O50" s="1284"/>
      <c r="P50" s="1284">
        <f t="shared" si="12"/>
        <v>149444.39120976755</v>
      </c>
      <c r="Q50" s="1284"/>
      <c r="R50" s="1284">
        <f>SUM($D$19:D50)+SUM($N$19:N50)+SUM($P$48:P50)</f>
        <v>-1305736.0922608641</v>
      </c>
      <c r="T50" s="394">
        <v>3</v>
      </c>
    </row>
    <row r="51" spans="2:20" ht="15.75">
      <c r="B51" s="1283">
        <f t="shared" si="10"/>
        <v>45383</v>
      </c>
      <c r="C51" s="1249"/>
      <c r="D51" s="1284">
        <v>0</v>
      </c>
      <c r="E51" s="1266"/>
      <c r="F51" s="1284">
        <f t="shared" si="13"/>
        <v>-1577106.6709390653</v>
      </c>
      <c r="G51" s="1284"/>
      <c r="H51" s="1284">
        <f>$H$50+SUM($N$48:$N$50)</f>
        <v>-176962.59495110158</v>
      </c>
      <c r="I51" s="1284"/>
      <c r="J51" s="1284">
        <f t="shared" si="14"/>
        <v>-1305736.0922608641</v>
      </c>
      <c r="K51" s="1266"/>
      <c r="L51" s="1286">
        <f>+'OKT WS Q Interest Rate'!$E$39</f>
        <v>5.9666666666666653E-3</v>
      </c>
      <c r="M51" s="1249"/>
      <c r="N51" s="1284">
        <f t="shared" si="11"/>
        <v>-7790.8920171564869</v>
      </c>
      <c r="O51" s="1284"/>
      <c r="P51" s="1284">
        <f t="shared" si="12"/>
        <v>149444.39120976755</v>
      </c>
      <c r="Q51" s="1284"/>
      <c r="R51" s="1284">
        <f>SUM($D$19:D51)+SUM($N$19:N51)+SUM($P$48:P51)</f>
        <v>-1164082.5930682532</v>
      </c>
      <c r="T51" s="394">
        <v>4</v>
      </c>
    </row>
    <row r="52" spans="2:20" ht="15.75">
      <c r="B52" s="1283">
        <f t="shared" si="10"/>
        <v>45413</v>
      </c>
      <c r="C52" s="1249"/>
      <c r="D52" s="1284">
        <v>0</v>
      </c>
      <c r="E52" s="1266"/>
      <c r="F52" s="1284">
        <f t="shared" si="13"/>
        <v>-1577106.6709390653</v>
      </c>
      <c r="G52" s="1284"/>
      <c r="H52" s="1284">
        <f>$H$50+SUM($N$48:$N$50)</f>
        <v>-176962.59495110158</v>
      </c>
      <c r="I52" s="1284"/>
      <c r="J52" s="1284">
        <f t="shared" si="14"/>
        <v>-1164082.5930682532</v>
      </c>
      <c r="K52" s="1266"/>
      <c r="L52" s="1286">
        <f>+'OKT WS Q Interest Rate'!$E$39</f>
        <v>5.9666666666666653E-3</v>
      </c>
      <c r="M52" s="1249"/>
      <c r="N52" s="1284">
        <f t="shared" si="11"/>
        <v>-6945.6928053072425</v>
      </c>
      <c r="O52" s="1284"/>
      <c r="P52" s="1284">
        <f t="shared" si="12"/>
        <v>149444.39120976755</v>
      </c>
      <c r="Q52" s="1284"/>
      <c r="R52" s="1284">
        <f>SUM($D$19:D52)+SUM($N$19:N52)+SUM($P$48:P52)</f>
        <v>-1021583.8946637929</v>
      </c>
      <c r="T52" s="394">
        <v>5</v>
      </c>
    </row>
    <row r="53" spans="2:20" ht="15.75">
      <c r="B53" s="1283">
        <f t="shared" si="10"/>
        <v>45444</v>
      </c>
      <c r="C53" s="404"/>
      <c r="D53" s="1284">
        <v>0</v>
      </c>
      <c r="E53" s="1266"/>
      <c r="F53" s="1284">
        <f t="shared" si="13"/>
        <v>-1577106.6709390653</v>
      </c>
      <c r="G53" s="1284"/>
      <c r="H53" s="1284">
        <f>$H$50+SUM($N$48:$N$50)</f>
        <v>-176962.59495110158</v>
      </c>
      <c r="I53" s="1284"/>
      <c r="J53" s="1284">
        <f t="shared" si="14"/>
        <v>-1021583.8946637929</v>
      </c>
      <c r="K53" s="1266"/>
      <c r="L53" s="1286">
        <f>+'OKT WS Q Interest Rate'!$E$39</f>
        <v>5.9666666666666653E-3</v>
      </c>
      <c r="M53" s="1249"/>
      <c r="N53" s="1284">
        <f t="shared" si="11"/>
        <v>-6095.4505714939633</v>
      </c>
      <c r="O53" s="1284"/>
      <c r="P53" s="1284">
        <f t="shared" si="12"/>
        <v>149444.39120976755</v>
      </c>
      <c r="Q53" s="1284"/>
      <c r="R53" s="1284">
        <f>SUM($D$19:D53)+SUM($N$19:N53)+SUM($P$48:P53)</f>
        <v>-878234.95402551931</v>
      </c>
      <c r="T53" s="394">
        <v>6</v>
      </c>
    </row>
    <row r="54" spans="2:20" ht="15.75">
      <c r="B54" s="1283">
        <f t="shared" si="10"/>
        <v>45474</v>
      </c>
      <c r="C54" s="1249"/>
      <c r="D54" s="1284">
        <v>0</v>
      </c>
      <c r="E54" s="1266"/>
      <c r="F54" s="1284">
        <f t="shared" si="13"/>
        <v>-1577106.6709390653</v>
      </c>
      <c r="G54" s="1284"/>
      <c r="H54" s="1284">
        <f>$H$53+SUM($N$51:$N$53)</f>
        <v>-197794.63034505927</v>
      </c>
      <c r="I54" s="1284"/>
      <c r="J54" s="1284">
        <f t="shared" si="14"/>
        <v>-878234.95402551931</v>
      </c>
      <c r="K54" s="1266"/>
      <c r="L54" s="1286">
        <f>+'OKT WS Q Interest Rate'!$E$39</f>
        <v>5.9666666666666653E-3</v>
      </c>
      <c r="M54" s="1249"/>
      <c r="N54" s="1284">
        <f t="shared" si="11"/>
        <v>-5240.1352256855971</v>
      </c>
      <c r="O54" s="1284"/>
      <c r="P54" s="1284">
        <f t="shared" si="12"/>
        <v>149444.39120976755</v>
      </c>
      <c r="Q54" s="1284"/>
      <c r="R54" s="1284">
        <f>SUM($D$19:D54)+SUM($N$19:N54)+SUM($P$48:P54)</f>
        <v>-734030.69804143731</v>
      </c>
      <c r="T54" s="394">
        <v>7</v>
      </c>
    </row>
    <row r="55" spans="2:20" ht="15.75">
      <c r="B55" s="1283">
        <f t="shared" si="10"/>
        <v>45505</v>
      </c>
      <c r="C55" s="1249"/>
      <c r="D55" s="1284">
        <v>0</v>
      </c>
      <c r="E55" s="1266"/>
      <c r="F55" s="1284">
        <f t="shared" si="13"/>
        <v>-1577106.6709390653</v>
      </c>
      <c r="G55" s="1284"/>
      <c r="H55" s="1284">
        <f>$H$53+SUM($N$51:$N$53)</f>
        <v>-197794.63034505927</v>
      </c>
      <c r="I55" s="1284"/>
      <c r="J55" s="1284">
        <f t="shared" si="14"/>
        <v>-734030.69804143731</v>
      </c>
      <c r="K55" s="1266"/>
      <c r="L55" s="1286">
        <f>+'OKT WS Q Interest Rate'!$E$39</f>
        <v>5.9666666666666653E-3</v>
      </c>
      <c r="M55" s="1249"/>
      <c r="N55" s="1284">
        <f t="shared" si="11"/>
        <v>-4379.7164983139082</v>
      </c>
      <c r="O55" s="1284"/>
      <c r="P55" s="1284">
        <f t="shared" si="12"/>
        <v>149444.39120976755</v>
      </c>
      <c r="Q55" s="1284"/>
      <c r="R55" s="1284">
        <f>SUM($D$19:D55)+SUM($N$19:N55)+SUM($P$48:P55)</f>
        <v>-588966.0233299837</v>
      </c>
      <c r="T55" s="394">
        <v>8</v>
      </c>
    </row>
    <row r="56" spans="2:20" ht="15.75">
      <c r="B56" s="1283">
        <f t="shared" si="10"/>
        <v>45536</v>
      </c>
      <c r="C56" s="1249"/>
      <c r="D56" s="1284">
        <v>0</v>
      </c>
      <c r="E56" s="1266"/>
      <c r="F56" s="1284">
        <f t="shared" si="13"/>
        <v>-1577106.6709390653</v>
      </c>
      <c r="G56" s="1284"/>
      <c r="H56" s="1284">
        <f>$H$53+SUM($N$51:$N$53)</f>
        <v>-197794.63034505927</v>
      </c>
      <c r="I56" s="1284"/>
      <c r="J56" s="1284">
        <f t="shared" si="14"/>
        <v>-588966.0233299837</v>
      </c>
      <c r="K56" s="1266"/>
      <c r="L56" s="1286">
        <f>+'OKT WS Q Interest Rate'!$E$39</f>
        <v>5.9666666666666653E-3</v>
      </c>
      <c r="M56" s="1249"/>
      <c r="N56" s="1284">
        <f t="shared" si="11"/>
        <v>-3514.1639392022353</v>
      </c>
      <c r="O56" s="1284"/>
      <c r="P56" s="1284">
        <f t="shared" si="12"/>
        <v>149444.39120976755</v>
      </c>
      <c r="Q56" s="1284"/>
      <c r="R56" s="1284">
        <f>SUM($D$19:D56)+SUM($N$19:N56)+SUM($P$48:P56)</f>
        <v>-443035.79605941824</v>
      </c>
      <c r="T56" s="394">
        <v>9</v>
      </c>
    </row>
    <row r="57" spans="2:20" ht="15.75">
      <c r="B57" s="1283">
        <f t="shared" si="10"/>
        <v>45566</v>
      </c>
      <c r="C57" s="1249"/>
      <c r="D57" s="1284">
        <v>0</v>
      </c>
      <c r="E57" s="1266"/>
      <c r="F57" s="1284">
        <f t="shared" si="13"/>
        <v>-1577106.6709390653</v>
      </c>
      <c r="G57" s="1284"/>
      <c r="H57" s="1284">
        <f>$H$56+SUM($N$54:$N$56)</f>
        <v>-210928.64600826101</v>
      </c>
      <c r="I57" s="1284"/>
      <c r="J57" s="1284">
        <f t="shared" si="14"/>
        <v>-443035.79605941824</v>
      </c>
      <c r="K57" s="1266"/>
      <c r="L57" s="1286">
        <f>+'OKT WS Q Interest Rate'!$E$39</f>
        <v>5.9666666666666653E-3</v>
      </c>
      <c r="M57" s="1249"/>
      <c r="N57" s="1284">
        <f t="shared" si="11"/>
        <v>-2643.4469164878615</v>
      </c>
      <c r="O57" s="1284"/>
      <c r="P57" s="1284">
        <f t="shared" si="12"/>
        <v>149444.39120976755</v>
      </c>
      <c r="Q57" s="1284"/>
      <c r="R57" s="1284">
        <f>SUM($D$19:D57)+SUM($N$19:N57)+SUM($P$48:P57)</f>
        <v>-296234.85176613834</v>
      </c>
      <c r="T57" s="394">
        <v>10</v>
      </c>
    </row>
    <row r="58" spans="2:20" ht="15.75">
      <c r="B58" s="1283">
        <f t="shared" si="10"/>
        <v>45597</v>
      </c>
      <c r="C58" s="1249"/>
      <c r="D58" s="1284">
        <v>0</v>
      </c>
      <c r="E58" s="1266"/>
      <c r="F58" s="1284">
        <f t="shared" si="13"/>
        <v>-1577106.6709390653</v>
      </c>
      <c r="G58" s="1284"/>
      <c r="H58" s="1284">
        <f>$H$56+SUM($N$54:$N$56)</f>
        <v>-210928.64600826101</v>
      </c>
      <c r="I58" s="1284"/>
      <c r="J58" s="1284">
        <f t="shared" si="14"/>
        <v>-296234.85176613834</v>
      </c>
      <c r="K58" s="1266"/>
      <c r="L58" s="1286">
        <f>+'OKT WS Q Interest Rate'!$E$39</f>
        <v>5.9666666666666653E-3</v>
      </c>
      <c r="M58" s="1249"/>
      <c r="N58" s="1284">
        <f t="shared" si="11"/>
        <v>-1767.5346155379584</v>
      </c>
      <c r="O58" s="1284"/>
      <c r="P58" s="1284">
        <f t="shared" si="12"/>
        <v>149444.39120976755</v>
      </c>
      <c r="Q58" s="1284"/>
      <c r="R58" s="1284">
        <f>SUM($D$19:D58)+SUM($N$19:N58)+SUM($P$48:P58)</f>
        <v>-148557.99517190875</v>
      </c>
      <c r="S58" s="1297"/>
      <c r="T58" s="394">
        <v>11</v>
      </c>
    </row>
    <row r="59" spans="2:20" ht="16.5" thickBot="1">
      <c r="B59" s="1298">
        <f t="shared" si="10"/>
        <v>45627</v>
      </c>
      <c r="C59" s="1299"/>
      <c r="D59" s="1300">
        <v>0</v>
      </c>
      <c r="E59" s="1269"/>
      <c r="F59" s="1300">
        <f>D58+F58</f>
        <v>-1577106.6709390653</v>
      </c>
      <c r="G59" s="1300"/>
      <c r="H59" s="1300">
        <f>$H$56+SUM($N$54:$N$56)</f>
        <v>-210928.64600826101</v>
      </c>
      <c r="I59" s="1300"/>
      <c r="J59" s="1300">
        <f t="shared" si="14"/>
        <v>-148557.99517190875</v>
      </c>
      <c r="K59" s="1269"/>
      <c r="L59" s="1301">
        <f>+'OKT WS Q Interest Rate'!$E$39</f>
        <v>5.9666666666666653E-3</v>
      </c>
      <c r="M59" s="1299"/>
      <c r="N59" s="1300">
        <f t="shared" si="11"/>
        <v>-886.39603785905535</v>
      </c>
      <c r="O59" s="1300"/>
      <c r="P59" s="1300">
        <f t="shared" si="12"/>
        <v>149444.39120976755</v>
      </c>
      <c r="Q59" s="1300"/>
      <c r="R59" s="1300">
        <f>SUM($D$19:D59)+SUM($N$19:N59)+SUM($P$48:P59)</f>
        <v>0</v>
      </c>
      <c r="T59" s="394">
        <v>12</v>
      </c>
    </row>
    <row r="60" spans="2:20" ht="15.75">
      <c r="B60" s="1249"/>
      <c r="C60" s="1249"/>
      <c r="D60" s="1266"/>
      <c r="E60" s="1266"/>
      <c r="F60" s="1266"/>
      <c r="G60" s="1266"/>
      <c r="H60" s="1266"/>
      <c r="I60" s="1266"/>
      <c r="J60" s="1266"/>
      <c r="K60" s="1266"/>
      <c r="L60" s="1249"/>
      <c r="M60" s="1249"/>
      <c r="N60" s="1284"/>
      <c r="O60" s="1284"/>
      <c r="P60" s="1284"/>
      <c r="Q60" s="1284"/>
      <c r="R60" s="1284"/>
    </row>
    <row r="61" spans="2:20" ht="15">
      <c r="B61" s="404"/>
      <c r="C61" s="404"/>
      <c r="D61" s="404"/>
      <c r="E61" s="404"/>
      <c r="F61" s="404"/>
      <c r="G61" s="404"/>
      <c r="H61" s="404"/>
      <c r="I61" s="404"/>
      <c r="J61" s="404"/>
      <c r="K61" s="404"/>
      <c r="L61" s="404"/>
      <c r="M61" s="404"/>
      <c r="N61" s="1290"/>
      <c r="O61" s="1290"/>
      <c r="P61" s="1290"/>
      <c r="Q61" s="1290"/>
      <c r="R61" s="1290"/>
    </row>
    <row r="62" spans="2:20" ht="15.75">
      <c r="B62" s="1302" t="s">
        <v>687</v>
      </c>
      <c r="C62" s="1303"/>
      <c r="D62" s="1303"/>
      <c r="E62" s="1303"/>
      <c r="F62" s="1303"/>
      <c r="G62" s="1303"/>
      <c r="H62" s="1303"/>
      <c r="I62" s="1303"/>
      <c r="J62" s="1303"/>
      <c r="K62" s="1303"/>
      <c r="L62" s="1303"/>
      <c r="M62" s="1303"/>
      <c r="N62" s="1304"/>
      <c r="O62" s="1304"/>
      <c r="P62" s="1305">
        <f>(SUM(P48:P59)*-1)</f>
        <v>-1793332.6945172111</v>
      </c>
      <c r="Q62" s="1290"/>
      <c r="R62" s="1290"/>
    </row>
    <row r="63" spans="2:20" ht="15.75">
      <c r="B63" s="1306" t="s">
        <v>688</v>
      </c>
      <c r="C63" s="1307"/>
      <c r="D63" s="1307"/>
      <c r="E63" s="1307"/>
      <c r="F63" s="1307"/>
      <c r="G63" s="1307"/>
      <c r="H63" s="1307"/>
      <c r="I63" s="1307"/>
      <c r="J63" s="1307"/>
      <c r="K63" s="1307"/>
      <c r="L63" s="1307"/>
      <c r="M63" s="1307"/>
      <c r="N63" s="1308"/>
      <c r="O63" s="1308"/>
      <c r="P63" s="1288">
        <f>+F11</f>
        <v>-1577106.6709390655</v>
      </c>
      <c r="Q63" s="1290"/>
      <c r="R63" s="1290"/>
    </row>
    <row r="64" spans="2:20" ht="15.75">
      <c r="B64" s="1309" t="s">
        <v>689</v>
      </c>
      <c r="C64" s="1310"/>
      <c r="D64" s="1310"/>
      <c r="E64" s="1310"/>
      <c r="F64" s="1310"/>
      <c r="G64" s="1310"/>
      <c r="H64" s="1310"/>
      <c r="I64" s="1310"/>
      <c r="J64" s="1310"/>
      <c r="K64" s="1310"/>
      <c r="L64" s="1310"/>
      <c r="M64" s="1310"/>
      <c r="N64" s="1311"/>
      <c r="O64" s="1311"/>
      <c r="P64" s="1312">
        <f>+(P62-P63)</f>
        <v>-216226.02357814554</v>
      </c>
      <c r="Q64" s="1290"/>
      <c r="R64" s="1290"/>
    </row>
    <row r="65" spans="2:18">
      <c r="B65" s="276"/>
      <c r="C65" s="276"/>
      <c r="D65" s="276"/>
      <c r="E65" s="276"/>
      <c r="F65" s="276"/>
      <c r="G65" s="276"/>
      <c r="H65" s="276"/>
      <c r="I65" s="276"/>
      <c r="J65" s="276"/>
      <c r="K65" s="276"/>
      <c r="L65" s="276"/>
      <c r="M65" s="276"/>
      <c r="N65" s="276"/>
      <c r="O65" s="276"/>
      <c r="P65" s="276"/>
      <c r="Q65" s="276"/>
      <c r="R65" s="276"/>
    </row>
    <row r="66" spans="2:18" ht="15.75" customHeight="1">
      <c r="B66" s="2282" t="s">
        <v>893</v>
      </c>
      <c r="C66" s="2282"/>
      <c r="D66" s="2282"/>
      <c r="E66" s="2282"/>
      <c r="F66" s="2282"/>
      <c r="G66" s="2282"/>
      <c r="H66" s="2282"/>
      <c r="I66" s="2282"/>
      <c r="J66" s="2282"/>
      <c r="K66" s="2282"/>
      <c r="L66" s="2282"/>
      <c r="M66" s="2282"/>
      <c r="N66" s="2282"/>
      <c r="O66" s="2282"/>
      <c r="P66" s="2282"/>
      <c r="Q66" s="1313"/>
      <c r="R66" s="1313"/>
    </row>
    <row r="67" spans="2:18" ht="12.75" customHeight="1">
      <c r="B67" s="2282"/>
      <c r="C67" s="2282"/>
      <c r="D67" s="2282"/>
      <c r="E67" s="2282"/>
      <c r="F67" s="2282"/>
      <c r="G67" s="2282"/>
      <c r="H67" s="2282"/>
      <c r="I67" s="2282"/>
      <c r="J67" s="2282"/>
      <c r="K67" s="2282"/>
      <c r="L67" s="2282"/>
      <c r="M67" s="2282"/>
      <c r="N67" s="2282"/>
      <c r="O67" s="2282"/>
      <c r="P67" s="2282"/>
      <c r="Q67" s="276"/>
      <c r="R67" s="276"/>
    </row>
    <row r="68" spans="2:18" ht="38.25" customHeight="1">
      <c r="B68" s="2282"/>
      <c r="C68" s="2282"/>
      <c r="D68" s="2282"/>
      <c r="E68" s="2282"/>
      <c r="F68" s="2282"/>
      <c r="G68" s="2282"/>
      <c r="H68" s="2282"/>
      <c r="I68" s="2282"/>
      <c r="J68" s="2282"/>
      <c r="K68" s="2282"/>
      <c r="L68" s="2282"/>
      <c r="M68" s="2282"/>
      <c r="N68" s="2282"/>
      <c r="O68" s="2282"/>
      <c r="P68" s="2282"/>
      <c r="Q68" s="1314"/>
      <c r="R68" s="1314"/>
    </row>
    <row r="70" spans="2:18" ht="22.5" customHeight="1">
      <c r="B70" s="2279" t="s">
        <v>894</v>
      </c>
      <c r="C70" s="2279"/>
      <c r="D70" s="2279"/>
      <c r="E70" s="2279"/>
      <c r="F70" s="2279"/>
      <c r="G70" s="2279"/>
      <c r="H70" s="2279"/>
      <c r="I70" s="2279"/>
      <c r="J70" s="2279"/>
      <c r="K70" s="2279"/>
      <c r="L70" s="2279"/>
      <c r="M70" s="2279"/>
      <c r="N70" s="2279"/>
      <c r="O70" s="2279"/>
      <c r="P70" s="2279"/>
    </row>
    <row r="73" spans="2:18" ht="15.75">
      <c r="B73" s="1279"/>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70"/>
  <sheetViews>
    <sheetView zoomScaleNormal="100" workbookViewId="0">
      <selection activeCell="D13" sqref="D13"/>
    </sheetView>
  </sheetViews>
  <sheetFormatPr defaultColWidth="9.28515625" defaultRowHeight="12.75"/>
  <cols>
    <col min="1" max="1" width="1.7109375" style="394" customWidth="1"/>
    <col min="2" max="2" width="25.28515625" style="394" customWidth="1"/>
    <col min="3" max="3" width="1.7109375" style="394" customWidth="1"/>
    <col min="4" max="4" width="22.5703125" style="394" customWidth="1"/>
    <col min="5" max="5" width="1.7109375" style="394" customWidth="1"/>
    <col min="6" max="6" width="24.7109375" style="394" customWidth="1"/>
    <col min="7" max="7" width="1.7109375" style="394" customWidth="1"/>
    <col min="8" max="8" width="21.42578125" style="394" customWidth="1"/>
    <col min="9" max="9" width="1.710937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3" style="394" hidden="1" customWidth="1"/>
    <col min="19" max="19" width="9.28515625" style="394"/>
    <col min="20" max="20" width="3" style="394" bestFit="1" customWidth="1"/>
    <col min="21" max="16384" width="9.28515625" style="394"/>
  </cols>
  <sheetData>
    <row r="1" spans="1:18" ht="15">
      <c r="A1" s="1246"/>
    </row>
    <row r="2" spans="1:18" ht="15.75">
      <c r="A2" s="1247"/>
    </row>
    <row r="3" spans="1:18" ht="15.75">
      <c r="A3" s="1247"/>
    </row>
    <row r="4" spans="1:18" ht="15.75">
      <c r="B4" s="2280" t="str">
        <f>+'OKT TCOS'!F4</f>
        <v xml:space="preserve">AEP West SPP Member Transmission Companies </v>
      </c>
      <c r="C4" s="2280"/>
      <c r="D4" s="2280"/>
      <c r="E4" s="2280"/>
      <c r="F4" s="2280"/>
      <c r="G4" s="2280"/>
      <c r="H4" s="2280"/>
      <c r="I4" s="2280"/>
      <c r="J4" s="2280"/>
      <c r="K4" s="2280"/>
      <c r="L4" s="2280"/>
      <c r="M4" s="2280"/>
      <c r="N4" s="2280"/>
      <c r="O4" s="2280"/>
      <c r="P4" s="2280"/>
    </row>
    <row r="5" spans="1:18" ht="15.75">
      <c r="B5" s="2281" t="str">
        <f>+'OKT WS A-1 - Plant'!A3</f>
        <v xml:space="preserve">Actual / Projected 2022 Rate Year Cost of Service Formula Rate </v>
      </c>
      <c r="C5" s="2281"/>
      <c r="D5" s="2281"/>
      <c r="E5" s="2281"/>
      <c r="F5" s="2281"/>
      <c r="G5" s="2281"/>
      <c r="H5" s="2281"/>
      <c r="I5" s="2281"/>
      <c r="J5" s="2281"/>
      <c r="K5" s="2281"/>
      <c r="L5" s="2281"/>
      <c r="M5" s="2281"/>
      <c r="N5" s="2281"/>
      <c r="O5" s="2281"/>
      <c r="P5" s="2281"/>
    </row>
    <row r="6" spans="1:18" ht="15.75">
      <c r="B6" s="2281" t="s">
        <v>690</v>
      </c>
      <c r="C6" s="2281"/>
      <c r="D6" s="2281"/>
      <c r="E6" s="2281"/>
      <c r="F6" s="2281"/>
      <c r="G6" s="2281"/>
      <c r="H6" s="2281"/>
      <c r="I6" s="2281"/>
      <c r="J6" s="2281"/>
      <c r="K6" s="2281"/>
      <c r="L6" s="2281"/>
      <c r="M6" s="2281"/>
      <c r="N6" s="2281"/>
      <c r="O6" s="2281"/>
      <c r="P6" s="2281"/>
    </row>
    <row r="7" spans="1:18" ht="15.75">
      <c r="B7" s="2243" t="str">
        <f>+'OKT TCOS'!F8</f>
        <v>AEP OKLAHOMA TRANSMISSION COMPANY, INC.</v>
      </c>
      <c r="C7" s="2243"/>
      <c r="D7" s="2243"/>
      <c r="E7" s="2243"/>
      <c r="F7" s="2243"/>
      <c r="G7" s="2243"/>
      <c r="H7" s="2243"/>
      <c r="I7" s="2243"/>
      <c r="J7" s="2243"/>
      <c r="K7" s="2243"/>
      <c r="L7" s="2243"/>
      <c r="M7" s="2243"/>
      <c r="N7" s="2243"/>
      <c r="O7" s="2243"/>
      <c r="P7" s="2243"/>
      <c r="Q7" s="1315"/>
      <c r="R7" s="1315"/>
    </row>
    <row r="8" spans="1:18">
      <c r="B8" s="276"/>
      <c r="C8" s="276"/>
      <c r="D8" s="276"/>
      <c r="E8" s="276"/>
      <c r="F8" s="276"/>
      <c r="G8" s="276"/>
      <c r="H8" s="276"/>
      <c r="I8" s="276"/>
      <c r="J8" s="276"/>
      <c r="K8" s="276"/>
      <c r="L8" s="276"/>
      <c r="M8" s="276"/>
      <c r="N8" s="276"/>
      <c r="O8" s="276"/>
      <c r="P8" s="276"/>
    </row>
    <row r="9" spans="1:18">
      <c r="B9" s="276"/>
      <c r="C9" s="276"/>
      <c r="D9" s="276"/>
      <c r="E9" s="276"/>
      <c r="F9" s="276"/>
      <c r="G9" s="276"/>
      <c r="H9" s="276"/>
      <c r="I9" s="276"/>
      <c r="J9" s="276"/>
      <c r="K9" s="276"/>
      <c r="L9" s="276"/>
      <c r="M9" s="276"/>
      <c r="N9" s="276"/>
      <c r="O9" s="276"/>
      <c r="P9" s="276"/>
    </row>
    <row r="10" spans="1:18" ht="16.5" thickBot="1">
      <c r="B10" s="1248"/>
      <c r="C10" s="1249"/>
      <c r="D10" s="276"/>
      <c r="E10" s="1249"/>
      <c r="F10" s="1249"/>
      <c r="G10" s="1249"/>
      <c r="H10" s="1249"/>
      <c r="I10" s="1249"/>
      <c r="J10" s="1249"/>
      <c r="K10" s="1249"/>
      <c r="O10" s="1249"/>
      <c r="P10" s="1249"/>
    </row>
    <row r="11" spans="1:18" ht="51.75">
      <c r="B11" s="1250" t="str">
        <f>"True up Revenue Requirement For Year "&amp;J11&amp;" Available May, "&amp;J12</f>
        <v>True up Revenue Requirement For Year 2022 Available May, 2023</v>
      </c>
      <c r="C11" s="1249"/>
      <c r="D11" s="1250" t="s">
        <v>914</v>
      </c>
      <c r="E11" s="1251"/>
      <c r="F11" s="1252" t="s">
        <v>670</v>
      </c>
      <c r="G11" s="404"/>
      <c r="H11" s="1253" t="s">
        <v>671</v>
      </c>
      <c r="I11" s="1249"/>
      <c r="J11" s="1254">
        <f>+'OKT TCOS'!N2</f>
        <v>2022</v>
      </c>
      <c r="K11" s="1249"/>
      <c r="O11" s="404"/>
      <c r="P11" s="404"/>
    </row>
    <row r="12" spans="1:18" ht="15.75">
      <c r="B12" s="1255" t="s">
        <v>251</v>
      </c>
      <c r="C12" s="1249"/>
      <c r="D12" s="1255"/>
      <c r="E12" s="1251"/>
      <c r="F12" s="1256"/>
      <c r="G12" s="404"/>
      <c r="H12" s="1257" t="s">
        <v>672</v>
      </c>
      <c r="I12" s="1258"/>
      <c r="J12" s="1259">
        <f>J11+1</f>
        <v>2023</v>
      </c>
      <c r="O12" s="404"/>
      <c r="P12" s="404"/>
    </row>
    <row r="13" spans="1:18" ht="16.5" thickBot="1">
      <c r="B13" s="1260">
        <f>+'Zonal Rates'!K34</f>
        <v>132600783.60628136</v>
      </c>
      <c r="C13" s="1261" t="s">
        <v>673</v>
      </c>
      <c r="D13" s="1260">
        <v>145868618.51809275</v>
      </c>
      <c r="E13" s="1262" t="s">
        <v>674</v>
      </c>
      <c r="F13" s="1263">
        <f>IF(B13=0,0,D13-B13)</f>
        <v>13267834.911811396</v>
      </c>
      <c r="G13" s="1264"/>
      <c r="H13" s="1265" t="s">
        <v>675</v>
      </c>
      <c r="I13" s="1266"/>
      <c r="J13" s="1267">
        <f>J12+1</f>
        <v>2024</v>
      </c>
      <c r="O13" s="404"/>
      <c r="P13" s="404"/>
    </row>
    <row r="14" spans="1:18" ht="15.75">
      <c r="B14" s="1266"/>
      <c r="C14" s="1268"/>
      <c r="D14" s="1266"/>
      <c r="E14" s="1266"/>
      <c r="F14" s="1266"/>
      <c r="G14" s="1266"/>
      <c r="H14" s="404"/>
      <c r="I14" s="404"/>
      <c r="O14" s="404"/>
      <c r="P14" s="404"/>
    </row>
    <row r="15" spans="1:18" ht="16.5" thickBot="1">
      <c r="B15" s="1269"/>
      <c r="C15" s="1270"/>
      <c r="D15" s="1269"/>
      <c r="E15" s="1269"/>
      <c r="F15" s="1269"/>
      <c r="G15" s="1269"/>
      <c r="H15" s="1269"/>
      <c r="I15" s="1269"/>
      <c r="J15" s="1269"/>
      <c r="K15" s="1269"/>
      <c r="L15" s="1269"/>
      <c r="M15" s="1269"/>
      <c r="N15" s="1272"/>
      <c r="O15" s="1272"/>
      <c r="P15" s="1272"/>
    </row>
    <row r="16" spans="1:18" ht="15.75">
      <c r="B16" s="1273"/>
      <c r="C16" s="1268"/>
      <c r="D16" s="1266"/>
      <c r="E16" s="1266"/>
      <c r="F16" s="1266"/>
      <c r="G16" s="1266"/>
      <c r="H16" s="1266"/>
      <c r="I16" s="1266"/>
      <c r="J16" s="1266"/>
      <c r="K16" s="1266"/>
      <c r="L16" s="1266"/>
      <c r="M16" s="1266"/>
      <c r="N16" s="404"/>
      <c r="O16" s="404"/>
      <c r="P16" s="404"/>
    </row>
    <row r="17" spans="2:18" ht="63">
      <c r="B17" s="1274" t="s">
        <v>676</v>
      </c>
      <c r="C17" s="1268"/>
      <c r="D17" s="1275" t="s">
        <v>677</v>
      </c>
      <c r="E17" s="1275"/>
      <c r="F17" s="1275" t="s">
        <v>678</v>
      </c>
      <c r="G17" s="1275"/>
      <c r="H17" s="1275" t="s">
        <v>679</v>
      </c>
      <c r="I17" s="1266"/>
      <c r="J17" s="1276" t="s">
        <v>680</v>
      </c>
      <c r="K17" s="1266"/>
      <c r="L17" s="1275" t="s">
        <v>896</v>
      </c>
      <c r="M17" s="1277"/>
      <c r="N17" s="1276" t="s">
        <v>681</v>
      </c>
      <c r="O17" s="1278"/>
      <c r="P17" s="1275" t="s">
        <v>683</v>
      </c>
    </row>
    <row r="18" spans="2:18" ht="15.75">
      <c r="B18" s="1279"/>
      <c r="C18" s="1268"/>
      <c r="D18" s="404"/>
      <c r="E18" s="404"/>
      <c r="F18" s="404"/>
      <c r="G18" s="404"/>
      <c r="H18" s="404"/>
      <c r="I18" s="1280"/>
      <c r="J18" s="1280"/>
      <c r="K18" s="1280"/>
      <c r="N18" s="404"/>
      <c r="O18" s="404"/>
      <c r="P18" s="404"/>
    </row>
    <row r="19" spans="2:18" ht="15.75">
      <c r="B19" s="1316" t="s">
        <v>684</v>
      </c>
      <c r="C19" s="1268"/>
      <c r="D19" s="1268"/>
      <c r="E19" s="1268"/>
      <c r="F19" s="1268"/>
      <c r="G19" s="1268"/>
      <c r="H19" s="1268"/>
      <c r="I19" s="1268"/>
      <c r="J19" s="1268"/>
      <c r="K19" s="1268"/>
      <c r="L19" s="404"/>
      <c r="M19" s="404"/>
      <c r="N19" s="1277"/>
      <c r="O19" s="1268"/>
      <c r="P19" s="1268"/>
    </row>
    <row r="20" spans="2:18" ht="15.75">
      <c r="B20" s="1282" t="s">
        <v>124</v>
      </c>
      <c r="C20" s="1268"/>
      <c r="D20" s="1268"/>
      <c r="E20" s="1268"/>
      <c r="F20" s="1268"/>
      <c r="G20" s="1268"/>
      <c r="H20" s="1268"/>
      <c r="I20" s="1268"/>
      <c r="J20" s="1268"/>
      <c r="K20" s="1268"/>
      <c r="L20" s="404"/>
      <c r="M20" s="404"/>
      <c r="N20" s="1277"/>
      <c r="O20" s="1268"/>
      <c r="P20" s="1268"/>
    </row>
    <row r="21" spans="2:18" ht="15.75">
      <c r="B21" s="1283">
        <f t="shared" ref="B21:B32" si="0">DATE($J$11,R21,1)</f>
        <v>44562</v>
      </c>
      <c r="C21" s="1249"/>
      <c r="D21" s="1284">
        <f>F13/12</f>
        <v>1105652.9093176164</v>
      </c>
      <c r="E21" s="1285"/>
      <c r="F21" s="1284">
        <v>0</v>
      </c>
      <c r="G21" s="1284"/>
      <c r="H21" s="1284">
        <v>0</v>
      </c>
      <c r="I21" s="1284"/>
      <c r="J21" s="1284">
        <f>F21+H21</f>
        <v>0</v>
      </c>
      <c r="K21" s="1285"/>
      <c r="L21" s="1286">
        <f>+'OKT WS Q Interest Rate'!E13</f>
        <v>2.8E-3</v>
      </c>
      <c r="M21" s="1287"/>
      <c r="N21" s="1284">
        <f t="shared" ref="N21:N32" si="1">J21*L21</f>
        <v>0</v>
      </c>
      <c r="O21" s="1284"/>
      <c r="P21" s="1284">
        <f>D21+N21</f>
        <v>1105652.9093176164</v>
      </c>
      <c r="R21" s="394">
        <v>1</v>
      </c>
    </row>
    <row r="22" spans="2:18" ht="15.75">
      <c r="B22" s="1283">
        <f t="shared" si="0"/>
        <v>44593</v>
      </c>
      <c r="C22" s="1249"/>
      <c r="D22" s="1284">
        <f>+D21</f>
        <v>1105652.9093176164</v>
      </c>
      <c r="E22" s="1285"/>
      <c r="F22" s="1284">
        <f>D21</f>
        <v>1105652.9093176164</v>
      </c>
      <c r="G22" s="1284"/>
      <c r="H22" s="1284">
        <v>0</v>
      </c>
      <c r="I22" s="1284"/>
      <c r="J22" s="1284">
        <f t="shared" ref="J22:J31" si="2">F22+H22</f>
        <v>1105652.9093176164</v>
      </c>
      <c r="K22" s="1285"/>
      <c r="L22" s="1286">
        <f>+'OKT WS Q Interest Rate'!E14</f>
        <v>2.5000000000000001E-3</v>
      </c>
      <c r="M22" s="1287"/>
      <c r="N22" s="1284">
        <f t="shared" si="1"/>
        <v>2764.1322732940412</v>
      </c>
      <c r="O22" s="1284"/>
      <c r="P22" s="1284">
        <f>SUM($D$21:D22)+SUM($N$21:N22)</f>
        <v>2214069.9509085268</v>
      </c>
      <c r="R22" s="394">
        <v>2</v>
      </c>
    </row>
    <row r="23" spans="2:18" ht="15.75">
      <c r="B23" s="1283">
        <f t="shared" si="0"/>
        <v>44621</v>
      </c>
      <c r="C23" s="1249"/>
      <c r="D23" s="1284">
        <f>+D22</f>
        <v>1105652.9093176164</v>
      </c>
      <c r="E23" s="1285"/>
      <c r="F23" s="1284">
        <f>D22+F22</f>
        <v>2211305.8186352327</v>
      </c>
      <c r="G23" s="1284"/>
      <c r="H23" s="1284">
        <v>0</v>
      </c>
      <c r="I23" s="1284"/>
      <c r="J23" s="1284">
        <f t="shared" si="2"/>
        <v>2211305.8186352327</v>
      </c>
      <c r="K23" s="1285"/>
      <c r="L23" s="1286">
        <f>+'OKT WS Q Interest Rate'!E15</f>
        <v>2.8E-3</v>
      </c>
      <c r="M23" s="1287"/>
      <c r="N23" s="1284">
        <f t="shared" si="1"/>
        <v>6191.6562921786517</v>
      </c>
      <c r="O23" s="1284"/>
      <c r="P23" s="1284">
        <f>SUM($D$21:D23)+SUM($N$21:N23)</f>
        <v>3325914.5165183218</v>
      </c>
      <c r="R23" s="394">
        <v>3</v>
      </c>
    </row>
    <row r="24" spans="2:18" ht="15.75">
      <c r="B24" s="1283">
        <f t="shared" si="0"/>
        <v>44652</v>
      </c>
      <c r="C24" s="1249"/>
      <c r="D24" s="1284">
        <f>+D23</f>
        <v>1105652.9093176164</v>
      </c>
      <c r="E24" s="1285"/>
      <c r="F24" s="1284">
        <f t="shared" ref="F24:F30" si="3">D23+F23</f>
        <v>3316958.7279528491</v>
      </c>
      <c r="G24" s="1284"/>
      <c r="H24" s="1284">
        <f>SUM($N$21:$N$23)</f>
        <v>8955.7885654726924</v>
      </c>
      <c r="I24" s="1284"/>
      <c r="J24" s="1284">
        <f t="shared" si="2"/>
        <v>3325914.5165183218</v>
      </c>
      <c r="K24" s="1285"/>
      <c r="L24" s="1286">
        <f>+'OKT WS Q Interest Rate'!E16</f>
        <v>2.7000000000000001E-3</v>
      </c>
      <c r="M24" s="1287"/>
      <c r="N24" s="1284">
        <f t="shared" si="1"/>
        <v>8979.9691945994691</v>
      </c>
      <c r="O24" s="1284"/>
      <c r="P24" s="1284">
        <f>SUM($D$21:D24)+SUM($N$21:N24)</f>
        <v>4440547.3950305376</v>
      </c>
      <c r="R24" s="394">
        <v>4</v>
      </c>
    </row>
    <row r="25" spans="2:18" ht="15.75">
      <c r="B25" s="1283">
        <f t="shared" si="0"/>
        <v>44682</v>
      </c>
      <c r="C25" s="1249"/>
      <c r="D25" s="1284">
        <f t="shared" ref="D25:D30" si="4">+D24</f>
        <v>1105652.9093176164</v>
      </c>
      <c r="E25" s="1285"/>
      <c r="F25" s="1284">
        <f t="shared" si="3"/>
        <v>4422611.6372704655</v>
      </c>
      <c r="G25" s="1284"/>
      <c r="H25" s="1284">
        <f t="shared" ref="H25:H26" si="5">SUM($N$21:$N$23)</f>
        <v>8955.7885654726924</v>
      </c>
      <c r="I25" s="1284"/>
      <c r="J25" s="1284">
        <f t="shared" si="2"/>
        <v>4431567.4258359382</v>
      </c>
      <c r="K25" s="1285"/>
      <c r="L25" s="1286">
        <f>+'OKT WS Q Interest Rate'!E17</f>
        <v>2.8E-3</v>
      </c>
      <c r="M25" s="1287"/>
      <c r="N25" s="1284">
        <f t="shared" si="1"/>
        <v>12408.388792340627</v>
      </c>
      <c r="O25" s="1284"/>
      <c r="P25" s="1284">
        <f>SUM($D$21:D25)+SUM($N$21:N25)</f>
        <v>5558608.6931404946</v>
      </c>
      <c r="R25" s="394">
        <v>5</v>
      </c>
    </row>
    <row r="26" spans="2:18" ht="15.75">
      <c r="B26" s="1283">
        <f t="shared" si="0"/>
        <v>44713</v>
      </c>
      <c r="C26" s="1249"/>
      <c r="D26" s="1284">
        <f t="shared" si="4"/>
        <v>1105652.9093176164</v>
      </c>
      <c r="E26" s="1285"/>
      <c r="F26" s="1284">
        <f t="shared" si="3"/>
        <v>5528264.5465880819</v>
      </c>
      <c r="G26" s="1284"/>
      <c r="H26" s="1284">
        <f t="shared" si="5"/>
        <v>8955.7885654726924</v>
      </c>
      <c r="I26" s="1284"/>
      <c r="J26" s="1284">
        <f t="shared" si="2"/>
        <v>5537220.3351535546</v>
      </c>
      <c r="K26" s="1285"/>
      <c r="L26" s="1286">
        <f>+'OKT WS Q Interest Rate'!E18</f>
        <v>2.7000000000000001E-3</v>
      </c>
      <c r="M26" s="1287"/>
      <c r="N26" s="1284">
        <f t="shared" si="1"/>
        <v>14950.494904914598</v>
      </c>
      <c r="O26" s="1284"/>
      <c r="P26" s="1284">
        <f>SUM($D$21:D26)+SUM($N$21:N26)</f>
        <v>6679212.0973630259</v>
      </c>
      <c r="R26" s="394">
        <v>6</v>
      </c>
    </row>
    <row r="27" spans="2:18" ht="15.75">
      <c r="B27" s="1283">
        <f t="shared" si="0"/>
        <v>44743</v>
      </c>
      <c r="C27" s="1249"/>
      <c r="D27" s="1284">
        <f t="shared" si="4"/>
        <v>1105652.9093176164</v>
      </c>
      <c r="E27" s="1285"/>
      <c r="F27" s="1284">
        <f t="shared" si="3"/>
        <v>6633917.4559056982</v>
      </c>
      <c r="G27" s="1284"/>
      <c r="H27" s="1284">
        <f>$H$26+SUM($N$24:$N$26)</f>
        <v>45294.641457327387</v>
      </c>
      <c r="I27" s="1284"/>
      <c r="J27" s="1284">
        <f t="shared" si="2"/>
        <v>6679212.0973630259</v>
      </c>
      <c r="K27" s="1285"/>
      <c r="L27" s="1286">
        <f>+'OKT WS Q Interest Rate'!E19</f>
        <v>3.0999999999999999E-3</v>
      </c>
      <c r="M27" s="1287"/>
      <c r="N27" s="1284">
        <f t="shared" si="1"/>
        <v>20705.55750182538</v>
      </c>
      <c r="O27" s="1284"/>
      <c r="P27" s="1284">
        <f>SUM($D$21:D27)+SUM($N$21:N27)</f>
        <v>7805570.5641824678</v>
      </c>
      <c r="R27" s="394">
        <v>7</v>
      </c>
    </row>
    <row r="28" spans="2:18" ht="15.75">
      <c r="B28" s="1283">
        <f t="shared" si="0"/>
        <v>44774</v>
      </c>
      <c r="C28" s="1249"/>
      <c r="D28" s="1284">
        <f t="shared" si="4"/>
        <v>1105652.9093176164</v>
      </c>
      <c r="E28" s="1285"/>
      <c r="F28" s="1284">
        <f t="shared" si="3"/>
        <v>7739570.3652233146</v>
      </c>
      <c r="G28" s="1284"/>
      <c r="H28" s="1284">
        <f>$H$26+SUM($N$24:$N$26)</f>
        <v>45294.641457327387</v>
      </c>
      <c r="I28" s="1284"/>
      <c r="J28" s="1284">
        <f t="shared" si="2"/>
        <v>7784865.0066806423</v>
      </c>
      <c r="K28" s="1285"/>
      <c r="L28" s="1286">
        <f>+'OKT WS Q Interest Rate'!E20</f>
        <v>3.0999999999999999E-3</v>
      </c>
      <c r="M28" s="1287"/>
      <c r="N28" s="1284">
        <f t="shared" si="1"/>
        <v>24133.081520709991</v>
      </c>
      <c r="O28" s="1284"/>
      <c r="P28" s="1284">
        <f>SUM($D$21:D28)+SUM($N$21:N28)</f>
        <v>8935356.5550207943</v>
      </c>
      <c r="R28" s="394">
        <v>8</v>
      </c>
    </row>
    <row r="29" spans="2:18" ht="15.75">
      <c r="B29" s="1283">
        <f t="shared" si="0"/>
        <v>44805</v>
      </c>
      <c r="C29" s="1249"/>
      <c r="D29" s="1284">
        <f t="shared" si="4"/>
        <v>1105652.9093176164</v>
      </c>
      <c r="E29" s="1285"/>
      <c r="F29" s="1284">
        <f t="shared" si="3"/>
        <v>8845223.274540931</v>
      </c>
      <c r="G29" s="1284"/>
      <c r="H29" s="1284">
        <f>$H$26+SUM($N$24:$N$26)</f>
        <v>45294.641457327387</v>
      </c>
      <c r="I29" s="1284"/>
      <c r="J29" s="1284">
        <f t="shared" si="2"/>
        <v>8890517.9159982577</v>
      </c>
      <c r="K29" s="1285"/>
      <c r="L29" s="1286">
        <f>+'OKT WS Q Interest Rate'!E21</f>
        <v>3.0000000000000001E-3</v>
      </c>
      <c r="M29" s="1287"/>
      <c r="N29" s="1284">
        <f t="shared" si="1"/>
        <v>26671.553747994774</v>
      </c>
      <c r="O29" s="1284"/>
      <c r="P29" s="1284">
        <f>SUM($D$21:D29)+SUM($N$21:N29)</f>
        <v>10067681.018086405</v>
      </c>
      <c r="R29" s="394">
        <v>9</v>
      </c>
    </row>
    <row r="30" spans="2:18" ht="15.75">
      <c r="B30" s="1283">
        <f t="shared" si="0"/>
        <v>44835</v>
      </c>
      <c r="C30" s="1249"/>
      <c r="D30" s="1284">
        <f t="shared" si="4"/>
        <v>1105652.9093176164</v>
      </c>
      <c r="E30" s="1285"/>
      <c r="F30" s="1284">
        <f t="shared" si="3"/>
        <v>9950876.1838585474</v>
      </c>
      <c r="G30" s="1284"/>
      <c r="H30" s="1284">
        <f>$H$29+SUM($N$27:$N$29)</f>
        <v>116804.83422785753</v>
      </c>
      <c r="I30" s="1284"/>
      <c r="J30" s="1284">
        <f t="shared" si="2"/>
        <v>10067681.018086405</v>
      </c>
      <c r="K30" s="1285"/>
      <c r="L30" s="1286">
        <f>+'OKT WS Q Interest Rate'!E22</f>
        <v>4.1999999999999997E-3</v>
      </c>
      <c r="M30" s="1287"/>
      <c r="N30" s="1284">
        <f t="shared" si="1"/>
        <v>42284.260275962901</v>
      </c>
      <c r="O30" s="1284"/>
      <c r="P30" s="1284">
        <f>SUM($D$21:D30)+SUM($N$21:N30)</f>
        <v>11215618.187679984</v>
      </c>
      <c r="R30" s="394">
        <v>10</v>
      </c>
    </row>
    <row r="31" spans="2:18" ht="15.75">
      <c r="B31" s="1283">
        <f t="shared" si="0"/>
        <v>44866</v>
      </c>
      <c r="C31" s="1249"/>
      <c r="D31" s="1284">
        <f>+D30</f>
        <v>1105652.9093176164</v>
      </c>
      <c r="E31" s="1285"/>
      <c r="F31" s="1284">
        <f>D30+F30</f>
        <v>11056529.093176164</v>
      </c>
      <c r="G31" s="1284"/>
      <c r="H31" s="1284">
        <f>$H$29+SUM($N$27:$N$29)</f>
        <v>116804.83422785753</v>
      </c>
      <c r="I31" s="1284"/>
      <c r="J31" s="1284">
        <f t="shared" si="2"/>
        <v>11173333.927404022</v>
      </c>
      <c r="K31" s="1285"/>
      <c r="L31" s="1286">
        <f>+'OKT WS Q Interest Rate'!E23</f>
        <v>4.0000000000000001E-3</v>
      </c>
      <c r="M31" s="1287"/>
      <c r="N31" s="1284">
        <f t="shared" si="1"/>
        <v>44693.335709616091</v>
      </c>
      <c r="O31" s="1284"/>
      <c r="P31" s="1284">
        <f>SUM($D$21:D31)+SUM($N$21:N31)</f>
        <v>12365964.432707217</v>
      </c>
      <c r="R31" s="394">
        <v>11</v>
      </c>
    </row>
    <row r="32" spans="2:18" ht="15.75">
      <c r="B32" s="1283">
        <f t="shared" si="0"/>
        <v>44896</v>
      </c>
      <c r="C32" s="1249"/>
      <c r="D32" s="1284">
        <f>+D31</f>
        <v>1105652.9093176164</v>
      </c>
      <c r="E32" s="1285"/>
      <c r="F32" s="1284">
        <f>D31+F31</f>
        <v>12162182.00249378</v>
      </c>
      <c r="G32" s="1284"/>
      <c r="H32" s="1284">
        <f>$H$29+SUM($N$27:$N$29)</f>
        <v>116804.83422785753</v>
      </c>
      <c r="I32" s="1284"/>
      <c r="J32" s="1284">
        <f>F32+H32</f>
        <v>12278986.836721638</v>
      </c>
      <c r="K32" s="1285"/>
      <c r="L32" s="1286">
        <f>+'OKT WS Q Interest Rate'!E24</f>
        <v>4.1999999999999997E-3</v>
      </c>
      <c r="M32" s="1287"/>
      <c r="N32" s="1284">
        <f t="shared" si="1"/>
        <v>51571.744714230874</v>
      </c>
      <c r="O32" s="1284"/>
      <c r="P32" s="1284">
        <f>SUM($D$21:D32)+SUM($N$21:N32)</f>
        <v>13523189.086739063</v>
      </c>
      <c r="R32" s="394">
        <v>12</v>
      </c>
    </row>
    <row r="33" spans="2:20" ht="15.75">
      <c r="B33" s="1249"/>
      <c r="C33" s="1249"/>
      <c r="D33" s="1284"/>
      <c r="E33" s="1285"/>
      <c r="F33" s="1284"/>
      <c r="G33" s="1284"/>
      <c r="H33" s="1284"/>
      <c r="I33" s="1284"/>
      <c r="J33" s="1284"/>
      <c r="K33" s="1285"/>
      <c r="L33" s="1268"/>
      <c r="M33" s="1249"/>
      <c r="N33" s="1288"/>
      <c r="O33" s="1284"/>
      <c r="P33" s="1289"/>
    </row>
    <row r="34" spans="2:20" ht="15.75">
      <c r="B34" s="1282" t="s">
        <v>685</v>
      </c>
      <c r="C34" s="1249"/>
      <c r="D34" s="1284"/>
      <c r="E34" s="1285"/>
      <c r="F34" s="1284"/>
      <c r="G34" s="1284"/>
      <c r="H34" s="1284"/>
      <c r="I34" s="1284"/>
      <c r="J34" s="1284"/>
      <c r="K34" s="1285"/>
      <c r="L34" s="1268"/>
      <c r="M34" s="1249"/>
      <c r="N34" s="1284"/>
      <c r="O34" s="1284"/>
      <c r="P34" s="1290"/>
    </row>
    <row r="35" spans="2:20" ht="15.75">
      <c r="B35" s="1283">
        <f t="shared" ref="B35:B40" si="6">DATE($J$12,R35,1)</f>
        <v>44927</v>
      </c>
      <c r="C35" s="1249"/>
      <c r="D35" s="1284">
        <v>0</v>
      </c>
      <c r="E35" s="1285"/>
      <c r="F35" s="1284">
        <f>D32+F32</f>
        <v>13267834.911811396</v>
      </c>
      <c r="G35" s="1284"/>
      <c r="H35" s="1284">
        <f>$H$32+SUM($N$30:$N$32)</f>
        <v>255354.17492766739</v>
      </c>
      <c r="I35" s="1284"/>
      <c r="J35" s="1284">
        <f>F35+H35</f>
        <v>13523189.086739063</v>
      </c>
      <c r="K35" s="1285"/>
      <c r="L35" s="1286">
        <f>+'OKT WS Q Interest Rate'!E25</f>
        <v>5.4000000000000003E-3</v>
      </c>
      <c r="M35" s="1287"/>
      <c r="N35" s="1284">
        <f t="shared" ref="N35:N40" si="7">J35*L35</f>
        <v>73025.221068390951</v>
      </c>
      <c r="O35" s="1284"/>
      <c r="P35" s="1284">
        <f>SUM($D$21:D35)+SUM($N$21:N35)</f>
        <v>13596214.307807455</v>
      </c>
      <c r="R35" s="394">
        <v>1</v>
      </c>
    </row>
    <row r="36" spans="2:20" ht="15.75">
      <c r="B36" s="1283">
        <f t="shared" si="6"/>
        <v>44958</v>
      </c>
      <c r="C36" s="1249"/>
      <c r="D36" s="1284">
        <v>0</v>
      </c>
      <c r="E36" s="1285"/>
      <c r="F36" s="1284">
        <f>D35+F35</f>
        <v>13267834.911811396</v>
      </c>
      <c r="G36" s="1284"/>
      <c r="H36" s="1284">
        <f>$H$32+SUM($N$30:$N$32)</f>
        <v>255354.17492766739</v>
      </c>
      <c r="I36" s="1284"/>
      <c r="J36" s="1284">
        <f>F36+H36</f>
        <v>13523189.086739063</v>
      </c>
      <c r="K36" s="1285"/>
      <c r="L36" s="1286">
        <f>+'OKT WS Q Interest Rate'!E26</f>
        <v>4.7999999999999996E-3</v>
      </c>
      <c r="M36" s="1287"/>
      <c r="N36" s="1284">
        <f t="shared" si="7"/>
        <v>64911.307616347498</v>
      </c>
      <c r="O36" s="1284"/>
      <c r="P36" s="1284">
        <f>SUM($D$21:D36)+SUM($N$21:N36)</f>
        <v>13661125.615423802</v>
      </c>
      <c r="R36" s="394">
        <v>2</v>
      </c>
    </row>
    <row r="37" spans="2:20" ht="15.75">
      <c r="B37" s="1283">
        <f t="shared" si="6"/>
        <v>44986</v>
      </c>
      <c r="C37" s="1249"/>
      <c r="D37" s="1284">
        <v>0</v>
      </c>
      <c r="E37" s="1285"/>
      <c r="F37" s="1284">
        <f t="shared" ref="F37:F40" si="8">D36+F36</f>
        <v>13267834.911811396</v>
      </c>
      <c r="G37" s="1284"/>
      <c r="H37" s="1284">
        <f>$H$32+SUM($N$30:$N$32)</f>
        <v>255354.17492766739</v>
      </c>
      <c r="I37" s="1284"/>
      <c r="J37" s="1284">
        <f t="shared" ref="J37:J40" si="9">F37+H37</f>
        <v>13523189.086739063</v>
      </c>
      <c r="K37" s="1285"/>
      <c r="L37" s="1286">
        <f>+'OKT WS Q Interest Rate'!E27</f>
        <v>5.4000000000000003E-3</v>
      </c>
      <c r="M37" s="1287"/>
      <c r="N37" s="1284">
        <f t="shared" si="7"/>
        <v>73025.221068390951</v>
      </c>
      <c r="O37" s="1284"/>
      <c r="P37" s="1284">
        <f>SUM($D$21:D37)+SUM($N$21:N37)</f>
        <v>13734150.836492194</v>
      </c>
      <c r="R37" s="394">
        <v>3</v>
      </c>
    </row>
    <row r="38" spans="2:20" ht="15.75">
      <c r="B38" s="1283">
        <f t="shared" si="6"/>
        <v>45017</v>
      </c>
      <c r="C38" s="1249"/>
      <c r="D38" s="1284">
        <v>0</v>
      </c>
      <c r="E38" s="1285"/>
      <c r="F38" s="1284">
        <f t="shared" si="8"/>
        <v>13267834.911811396</v>
      </c>
      <c r="G38" s="1284"/>
      <c r="H38" s="1284">
        <f>$H$37+SUM($N$35:$N$37)</f>
        <v>466315.9246807968</v>
      </c>
      <c r="I38" s="1284"/>
      <c r="J38" s="1284">
        <f>F38+H38</f>
        <v>13734150.836492194</v>
      </c>
      <c r="K38" s="1285"/>
      <c r="L38" s="1286">
        <f>+'OKT WS Q Interest Rate'!E28</f>
        <v>6.1999999999999998E-3</v>
      </c>
      <c r="M38" s="1287"/>
      <c r="N38" s="1284">
        <f t="shared" si="7"/>
        <v>85151.735186251593</v>
      </c>
      <c r="O38" s="1284"/>
      <c r="P38" s="1284">
        <f>SUM($D$21:D38)+SUM($N$21:N38)</f>
        <v>13819302.571678445</v>
      </c>
      <c r="R38" s="394">
        <v>4</v>
      </c>
    </row>
    <row r="39" spans="2:20" ht="15.75">
      <c r="B39" s="1283">
        <f t="shared" si="6"/>
        <v>45047</v>
      </c>
      <c r="C39" s="1249"/>
      <c r="D39" s="1284">
        <v>0</v>
      </c>
      <c r="E39" s="1285"/>
      <c r="F39" s="1284">
        <f t="shared" si="8"/>
        <v>13267834.911811396</v>
      </c>
      <c r="G39" s="1284"/>
      <c r="H39" s="1284">
        <f>$H$37+SUM($N$35:$N$37)</f>
        <v>466315.9246807968</v>
      </c>
      <c r="I39" s="1284"/>
      <c r="J39" s="1284">
        <f t="shared" si="9"/>
        <v>13734150.836492194</v>
      </c>
      <c r="K39" s="1285"/>
      <c r="L39" s="1286">
        <f>+'OKT WS Q Interest Rate'!E29</f>
        <v>6.4000000000000003E-3</v>
      </c>
      <c r="M39" s="1287"/>
      <c r="N39" s="1284">
        <f t="shared" si="7"/>
        <v>87898.565353550046</v>
      </c>
      <c r="O39" s="1284"/>
      <c r="P39" s="1284">
        <f>SUM($D$21:D39)+SUM($N$21:N39)</f>
        <v>13907201.137031995</v>
      </c>
      <c r="R39" s="394">
        <v>5</v>
      </c>
    </row>
    <row r="40" spans="2:20" ht="16.5" thickBot="1">
      <c r="B40" s="1298">
        <f t="shared" si="6"/>
        <v>45078</v>
      </c>
      <c r="C40" s="1299"/>
      <c r="D40" s="1300">
        <v>0</v>
      </c>
      <c r="E40" s="1317"/>
      <c r="F40" s="1300">
        <f t="shared" si="8"/>
        <v>13267834.911811396</v>
      </c>
      <c r="G40" s="1300"/>
      <c r="H40" s="1300">
        <f>$H$37+SUM($N$35:$N$37)</f>
        <v>466315.9246807968</v>
      </c>
      <c r="I40" s="1300"/>
      <c r="J40" s="1300">
        <f t="shared" si="9"/>
        <v>13734150.836492194</v>
      </c>
      <c r="K40" s="1317"/>
      <c r="L40" s="1301">
        <f>+'OKT WS Q Interest Rate'!E30</f>
        <v>6.1999999999999998E-3</v>
      </c>
      <c r="M40" s="1318"/>
      <c r="N40" s="1300">
        <f t="shared" si="7"/>
        <v>85151.735186251593</v>
      </c>
      <c r="O40" s="1300"/>
      <c r="P40" s="1300">
        <f>SUM($D$21:D40)+SUM($N$21:N40)</f>
        <v>13992352.872218246</v>
      </c>
      <c r="R40" s="394">
        <v>6</v>
      </c>
    </row>
    <row r="41" spans="2:20" ht="15.75">
      <c r="B41" s="1249"/>
      <c r="C41" s="1249"/>
      <c r="D41" s="1266"/>
      <c r="E41" s="1266"/>
      <c r="F41" s="1266"/>
      <c r="G41" s="1266"/>
      <c r="H41" s="1266"/>
      <c r="I41" s="1266"/>
      <c r="J41" s="1266"/>
      <c r="K41" s="1266"/>
      <c r="L41" s="1249"/>
      <c r="M41" s="1249"/>
      <c r="N41" s="1284"/>
      <c r="O41" s="1284"/>
      <c r="P41" s="1284"/>
    </row>
    <row r="42" spans="2:20" ht="15">
      <c r="B42" s="404"/>
      <c r="C42" s="404"/>
      <c r="D42" s="404"/>
      <c r="E42" s="404"/>
      <c r="F42" s="404"/>
      <c r="G42" s="404"/>
      <c r="H42" s="404"/>
      <c r="I42" s="404"/>
      <c r="J42" s="404"/>
      <c r="K42" s="404"/>
      <c r="L42" s="404"/>
      <c r="M42" s="404"/>
      <c r="N42" s="1290"/>
      <c r="O42" s="1290"/>
      <c r="P42" s="1290"/>
    </row>
    <row r="43" spans="2:20" ht="15.75">
      <c r="B43" s="1302" t="s">
        <v>687</v>
      </c>
      <c r="C43" s="1303"/>
      <c r="D43" s="1303"/>
      <c r="E43" s="1303"/>
      <c r="F43" s="1303"/>
      <c r="G43" s="1303"/>
      <c r="H43" s="1303"/>
      <c r="I43" s="1303"/>
      <c r="J43" s="1303"/>
      <c r="K43" s="1303"/>
      <c r="L43" s="1303"/>
      <c r="M43" s="1303"/>
      <c r="N43" s="1319"/>
      <c r="O43" s="1304"/>
      <c r="P43" s="1305">
        <f>P40</f>
        <v>13992352.872218246</v>
      </c>
    </row>
    <row r="44" spans="2:20" ht="15.75">
      <c r="B44" s="1306" t="s">
        <v>688</v>
      </c>
      <c r="C44" s="1307"/>
      <c r="D44" s="1307"/>
      <c r="E44" s="1307"/>
      <c r="F44" s="1307"/>
      <c r="G44" s="1307"/>
      <c r="H44" s="1307"/>
      <c r="I44" s="1307"/>
      <c r="J44" s="1307"/>
      <c r="K44" s="1307"/>
      <c r="L44" s="1307"/>
      <c r="M44" s="1307"/>
      <c r="N44" s="1320"/>
      <c r="O44" s="1308"/>
      <c r="P44" s="1288">
        <f>+F13</f>
        <v>13267834.911811396</v>
      </c>
    </row>
    <row r="45" spans="2:20" ht="15.75">
      <c r="B45" s="1309" t="s">
        <v>689</v>
      </c>
      <c r="C45" s="1310"/>
      <c r="D45" s="1310"/>
      <c r="E45" s="1310"/>
      <c r="F45" s="1310"/>
      <c r="G45" s="1310"/>
      <c r="H45" s="1310"/>
      <c r="I45" s="1310"/>
      <c r="J45" s="1310"/>
      <c r="K45" s="1310"/>
      <c r="L45" s="1310"/>
      <c r="M45" s="1310"/>
      <c r="N45" s="1321"/>
      <c r="O45" s="1311"/>
      <c r="P45" s="1312">
        <f>P43-P44</f>
        <v>724517.96040684916</v>
      </c>
    </row>
    <row r="46" spans="2:20">
      <c r="B46" s="276"/>
      <c r="C46" s="276"/>
      <c r="D46" s="276"/>
      <c r="E46" s="276"/>
      <c r="F46" s="276"/>
      <c r="G46" s="276"/>
      <c r="H46" s="276"/>
      <c r="I46" s="276"/>
      <c r="J46" s="276"/>
      <c r="K46" s="276"/>
      <c r="L46" s="276"/>
      <c r="M46" s="276"/>
      <c r="N46" s="276"/>
      <c r="O46" s="276"/>
      <c r="P46" s="276"/>
    </row>
    <row r="47" spans="2:20" ht="15.75">
      <c r="B47" s="2283" t="s">
        <v>888</v>
      </c>
      <c r="C47" s="2283"/>
      <c r="D47" s="2283"/>
      <c r="E47" s="2283"/>
      <c r="F47" s="2283"/>
      <c r="G47" s="2283"/>
      <c r="H47" s="2283"/>
      <c r="I47" s="2283"/>
      <c r="J47" s="2283"/>
      <c r="K47" s="2283"/>
      <c r="L47" s="2283"/>
      <c r="M47" s="2283"/>
      <c r="N47" s="2283"/>
      <c r="O47" s="1313"/>
      <c r="P47" s="1313"/>
      <c r="T47" s="1292"/>
    </row>
    <row r="48" spans="2:20" ht="17.25" customHeight="1">
      <c r="B48" s="2283"/>
      <c r="C48" s="2283"/>
      <c r="D48" s="2283"/>
      <c r="E48" s="2283"/>
      <c r="F48" s="2283"/>
      <c r="G48" s="2283"/>
      <c r="H48" s="2283"/>
      <c r="I48" s="2283"/>
      <c r="J48" s="2283"/>
      <c r="K48" s="2283"/>
      <c r="L48" s="2283"/>
      <c r="M48" s="2283"/>
      <c r="N48" s="2283"/>
      <c r="O48" s="276"/>
      <c r="P48" s="276"/>
    </row>
    <row r="50" spans="2:14">
      <c r="B50" s="2279" t="s">
        <v>890</v>
      </c>
      <c r="C50" s="2279"/>
      <c r="D50" s="2279"/>
      <c r="E50" s="2279"/>
      <c r="F50" s="2279"/>
      <c r="G50" s="2279"/>
      <c r="H50" s="2279"/>
      <c r="I50" s="2279"/>
      <c r="J50" s="2279"/>
      <c r="K50" s="2279"/>
      <c r="L50" s="2279"/>
      <c r="M50" s="2279"/>
      <c r="N50" s="2279"/>
    </row>
    <row r="51" spans="2:14" ht="21.75" customHeight="1">
      <c r="B51" s="2279"/>
      <c r="C51" s="2279"/>
      <c r="D51" s="2279"/>
      <c r="E51" s="2279"/>
      <c r="F51" s="2279"/>
      <c r="G51" s="2279"/>
      <c r="H51" s="2279"/>
      <c r="I51" s="2279"/>
      <c r="J51" s="2279"/>
      <c r="K51" s="2279"/>
      <c r="L51" s="2279"/>
      <c r="M51" s="2279"/>
      <c r="N51" s="2279"/>
    </row>
    <row r="53" spans="2:14" ht="15.75">
      <c r="B53" s="1279"/>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zoomScaleNormal="100" workbookViewId="0">
      <selection activeCell="H9" sqref="H9"/>
    </sheetView>
  </sheetViews>
  <sheetFormatPr defaultColWidth="9.28515625" defaultRowHeight="12.75"/>
  <cols>
    <col min="1" max="1" width="1.7109375" style="394" customWidth="1"/>
    <col min="2" max="2" width="25.28515625" style="394" customWidth="1"/>
    <col min="3" max="3" width="1.7109375" style="394" customWidth="1"/>
    <col min="4" max="4" width="22.5703125" style="394" customWidth="1"/>
    <col min="5" max="5" width="1.7109375" style="394" customWidth="1"/>
    <col min="6" max="6" width="24.7109375" style="394" customWidth="1"/>
    <col min="7" max="7" width="1.7109375" style="394" customWidth="1"/>
    <col min="8" max="8" width="21.42578125" style="394" customWidth="1"/>
    <col min="9" max="9" width="1.710937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3" style="394" hidden="1" customWidth="1"/>
    <col min="19" max="19" width="9.28515625" style="394"/>
    <col min="20" max="20" width="3" style="394" bestFit="1" customWidth="1"/>
    <col min="21" max="16384" width="9.28515625" style="394"/>
  </cols>
  <sheetData>
    <row r="1" spans="1:18" ht="15">
      <c r="A1" s="1246"/>
    </row>
    <row r="2" spans="1:18" ht="15.75">
      <c r="A2" s="1247"/>
    </row>
    <row r="3" spans="1:18" ht="15.75">
      <c r="A3" s="1247"/>
    </row>
    <row r="4" spans="1:18" ht="15.75">
      <c r="B4" s="2280" t="str">
        <f>+'OKT TCOS'!F4</f>
        <v xml:space="preserve">AEP West SPP Member Transmission Companies </v>
      </c>
      <c r="C4" s="2280"/>
      <c r="D4" s="2280"/>
      <c r="E4" s="2280"/>
      <c r="F4" s="2280"/>
      <c r="G4" s="2280"/>
      <c r="H4" s="2280"/>
      <c r="I4" s="2280"/>
      <c r="J4" s="2280"/>
      <c r="K4" s="2280"/>
      <c r="L4" s="2280"/>
      <c r="M4" s="2280"/>
      <c r="N4" s="2280"/>
      <c r="O4" s="2280"/>
      <c r="P4" s="2280"/>
    </row>
    <row r="5" spans="1:18" ht="15.75">
      <c r="B5" s="2281" t="str">
        <f>+'OKT WS A-1 - Plant'!A3</f>
        <v xml:space="preserve">Actual / Projected 2022 Rate Year Cost of Service Formula Rate </v>
      </c>
      <c r="C5" s="2281"/>
      <c r="D5" s="2281"/>
      <c r="E5" s="2281"/>
      <c r="F5" s="2281"/>
      <c r="G5" s="2281"/>
      <c r="H5" s="2281"/>
      <c r="I5" s="2281"/>
      <c r="J5" s="2281"/>
      <c r="K5" s="2281"/>
      <c r="L5" s="2281"/>
      <c r="M5" s="2281"/>
      <c r="N5" s="2281"/>
      <c r="O5" s="2281"/>
      <c r="P5" s="2281"/>
    </row>
    <row r="6" spans="1:18" ht="15.75">
      <c r="B6" s="2281" t="s">
        <v>892</v>
      </c>
      <c r="C6" s="2281"/>
      <c r="D6" s="2281"/>
      <c r="E6" s="2281"/>
      <c r="F6" s="2281"/>
      <c r="G6" s="2281"/>
      <c r="H6" s="2281"/>
      <c r="I6" s="2281"/>
      <c r="J6" s="2281"/>
      <c r="K6" s="2281"/>
      <c r="L6" s="2281"/>
      <c r="M6" s="2281"/>
      <c r="N6" s="2281"/>
      <c r="O6" s="2281"/>
      <c r="P6" s="2281"/>
    </row>
    <row r="7" spans="1:18" ht="15.75">
      <c r="B7" s="2243" t="str">
        <f>+'OKT TCOS'!F8</f>
        <v>AEP OKLAHOMA TRANSMISSION COMPANY, INC.</v>
      </c>
      <c r="C7" s="2243"/>
      <c r="D7" s="2243"/>
      <c r="E7" s="2243"/>
      <c r="F7" s="2243"/>
      <c r="G7" s="2243"/>
      <c r="H7" s="2243"/>
      <c r="I7" s="2243"/>
      <c r="J7" s="2243"/>
      <c r="K7" s="2243"/>
      <c r="L7" s="2243"/>
      <c r="M7" s="2243"/>
      <c r="N7" s="2243"/>
      <c r="O7" s="2243"/>
      <c r="P7" s="2243"/>
      <c r="Q7" s="1315"/>
      <c r="R7" s="1315"/>
    </row>
    <row r="8" spans="1:18">
      <c r="B8" s="276"/>
      <c r="C8" s="276"/>
      <c r="D8" s="276"/>
      <c r="E8" s="276"/>
      <c r="F8" s="276"/>
      <c r="G8" s="276"/>
      <c r="H8" s="276"/>
      <c r="I8" s="276"/>
      <c r="J8" s="276"/>
      <c r="K8" s="276"/>
      <c r="L8" s="276"/>
      <c r="M8" s="276"/>
      <c r="N8" s="276"/>
      <c r="O8" s="276"/>
      <c r="P8" s="276"/>
    </row>
    <row r="9" spans="1:18">
      <c r="B9" s="276"/>
      <c r="C9" s="276"/>
      <c r="D9" s="276"/>
      <c r="E9" s="276"/>
      <c r="F9" s="276"/>
      <c r="G9" s="276"/>
      <c r="H9" s="276"/>
      <c r="I9" s="276"/>
      <c r="J9" s="276"/>
      <c r="K9" s="276"/>
      <c r="L9" s="276"/>
      <c r="M9" s="276"/>
      <c r="N9" s="276"/>
      <c r="O9" s="276"/>
      <c r="P9" s="276"/>
    </row>
    <row r="10" spans="1:18" ht="16.5" thickBot="1">
      <c r="B10" s="1248"/>
      <c r="C10" s="1249"/>
      <c r="D10" s="276"/>
      <c r="E10" s="1249"/>
      <c r="F10" s="1249"/>
      <c r="G10" s="1249"/>
      <c r="H10" s="1249"/>
      <c r="I10" s="1249"/>
      <c r="J10" s="1249"/>
      <c r="K10" s="1249"/>
      <c r="O10" s="1249"/>
      <c r="P10" s="1249"/>
    </row>
    <row r="11" spans="1:18" ht="51.75">
      <c r="B11" s="1250" t="str">
        <f>"True up Revenue Requirement For Year "&amp;J11&amp;" Available May, "&amp;J12</f>
        <v>True up Revenue Requirement For Year 2022 Available May, 2023</v>
      </c>
      <c r="C11" s="1249"/>
      <c r="D11" s="1250" t="s">
        <v>915</v>
      </c>
      <c r="E11" s="1251"/>
      <c r="F11" s="1252" t="s">
        <v>670</v>
      </c>
      <c r="G11" s="404"/>
      <c r="H11" s="1253" t="s">
        <v>671</v>
      </c>
      <c r="I11" s="1249"/>
      <c r="J11" s="1254">
        <f>+'OKT TCOS'!N2</f>
        <v>2022</v>
      </c>
      <c r="K11" s="1249"/>
      <c r="O11" s="404"/>
      <c r="P11" s="404"/>
    </row>
    <row r="12" spans="1:18" ht="15.75">
      <c r="B12" s="1255" t="s">
        <v>251</v>
      </c>
      <c r="C12" s="1249"/>
      <c r="D12" s="1255"/>
      <c r="E12" s="1251"/>
      <c r="F12" s="1256"/>
      <c r="G12" s="404"/>
      <c r="H12" s="1257" t="s">
        <v>672</v>
      </c>
      <c r="I12" s="1258"/>
      <c r="J12" s="1259">
        <f>J11+1</f>
        <v>2023</v>
      </c>
      <c r="O12" s="404"/>
      <c r="P12" s="404"/>
    </row>
    <row r="13" spans="1:18" ht="16.5" thickBot="1">
      <c r="B13" s="1260">
        <f>+'Sch 1 Rates'!J22</f>
        <v>495175.74747120001</v>
      </c>
      <c r="C13" s="1261" t="s">
        <v>673</v>
      </c>
      <c r="D13" s="1260">
        <v>758030.5860215053</v>
      </c>
      <c r="E13" s="1262" t="s">
        <v>674</v>
      </c>
      <c r="F13" s="1263">
        <f>IF(B13=0,0,D13-B13)</f>
        <v>262854.83855030529</v>
      </c>
      <c r="G13" s="1264"/>
      <c r="H13" s="1265" t="s">
        <v>675</v>
      </c>
      <c r="I13" s="1266"/>
      <c r="J13" s="1267">
        <f>J12+1</f>
        <v>2024</v>
      </c>
      <c r="O13" s="404"/>
      <c r="P13" s="404"/>
    </row>
    <row r="14" spans="1:18" ht="15.75">
      <c r="B14" s="1266"/>
      <c r="C14" s="1268"/>
      <c r="D14" s="1266"/>
      <c r="E14" s="1266"/>
      <c r="F14" s="1266"/>
      <c r="G14" s="1266"/>
      <c r="H14" s="404"/>
      <c r="I14" s="404"/>
      <c r="O14" s="404"/>
      <c r="P14" s="404"/>
    </row>
    <row r="15" spans="1:18" ht="16.5" thickBot="1">
      <c r="B15" s="1269"/>
      <c r="C15" s="1270"/>
      <c r="D15" s="1269"/>
      <c r="E15" s="1269"/>
      <c r="F15" s="1269"/>
      <c r="G15" s="1269"/>
      <c r="H15" s="1269"/>
      <c r="I15" s="1269"/>
      <c r="J15" s="1269"/>
      <c r="K15" s="1269"/>
      <c r="L15" s="1269"/>
      <c r="M15" s="1269"/>
      <c r="N15" s="1272"/>
      <c r="O15" s="1272"/>
      <c r="P15" s="1272"/>
    </row>
    <row r="16" spans="1:18" ht="15.75">
      <c r="B16" s="1273"/>
      <c r="C16" s="1268"/>
      <c r="D16" s="1266"/>
      <c r="E16" s="1266"/>
      <c r="F16" s="1266"/>
      <c r="G16" s="1266"/>
      <c r="H16" s="1266"/>
      <c r="I16" s="1266"/>
      <c r="J16" s="1266"/>
      <c r="K16" s="1266"/>
      <c r="L16" s="1266"/>
      <c r="M16" s="1266"/>
      <c r="N16" s="404"/>
      <c r="O16" s="404"/>
      <c r="P16" s="404"/>
    </row>
    <row r="17" spans="2:18" ht="63">
      <c r="B17" s="1274" t="s">
        <v>676</v>
      </c>
      <c r="C17" s="1268"/>
      <c r="D17" s="1275" t="s">
        <v>677</v>
      </c>
      <c r="E17" s="1275"/>
      <c r="F17" s="1275" t="s">
        <v>678</v>
      </c>
      <c r="G17" s="1275"/>
      <c r="H17" s="1275" t="s">
        <v>679</v>
      </c>
      <c r="I17" s="1266"/>
      <c r="J17" s="1276" t="s">
        <v>680</v>
      </c>
      <c r="K17" s="1266"/>
      <c r="L17" s="1275" t="s">
        <v>896</v>
      </c>
      <c r="M17" s="1277"/>
      <c r="N17" s="1276" t="s">
        <v>681</v>
      </c>
      <c r="O17" s="1278"/>
      <c r="P17" s="1275" t="s">
        <v>683</v>
      </c>
    </row>
    <row r="18" spans="2:18" ht="15.75">
      <c r="B18" s="1279"/>
      <c r="C18" s="1268"/>
      <c r="D18" s="404"/>
      <c r="E18" s="404"/>
      <c r="F18" s="404"/>
      <c r="G18" s="404"/>
      <c r="H18" s="404"/>
      <c r="I18" s="1280"/>
      <c r="J18" s="1280"/>
      <c r="K18" s="1280"/>
      <c r="N18" s="404"/>
      <c r="O18" s="404"/>
      <c r="P18" s="404"/>
    </row>
    <row r="19" spans="2:18" ht="15.75">
      <c r="B19" s="1316" t="s">
        <v>684</v>
      </c>
      <c r="C19" s="1268"/>
      <c r="D19" s="1268"/>
      <c r="E19" s="1268"/>
      <c r="F19" s="1268"/>
      <c r="G19" s="1268"/>
      <c r="H19" s="1268"/>
      <c r="I19" s="1268"/>
      <c r="J19" s="1268"/>
      <c r="K19" s="1268"/>
      <c r="L19" s="404"/>
      <c r="M19" s="404"/>
      <c r="N19" s="1277"/>
      <c r="O19" s="1268"/>
      <c r="P19" s="1268"/>
    </row>
    <row r="20" spans="2:18" ht="15.75">
      <c r="B20" s="1282" t="s">
        <v>124</v>
      </c>
      <c r="C20" s="1268"/>
      <c r="D20" s="1268"/>
      <c r="E20" s="1268"/>
      <c r="F20" s="1268"/>
      <c r="G20" s="1268"/>
      <c r="H20" s="1268"/>
      <c r="I20" s="1268"/>
      <c r="J20" s="1268"/>
      <c r="K20" s="1268"/>
      <c r="L20" s="404"/>
      <c r="M20" s="404"/>
      <c r="N20" s="1277"/>
      <c r="O20" s="1268"/>
      <c r="P20" s="1268"/>
    </row>
    <row r="21" spans="2:18" ht="15.75">
      <c r="B21" s="1283">
        <f t="shared" ref="B21:B32" si="0">DATE($J$11,R21,1)</f>
        <v>44562</v>
      </c>
      <c r="C21" s="1249"/>
      <c r="D21" s="1284">
        <f>F13/12</f>
        <v>21904.569879192106</v>
      </c>
      <c r="E21" s="1285"/>
      <c r="F21" s="1284">
        <v>0</v>
      </c>
      <c r="G21" s="1284"/>
      <c r="H21" s="1284">
        <v>0</v>
      </c>
      <c r="I21" s="1284"/>
      <c r="J21" s="1284">
        <f>F21+H21</f>
        <v>0</v>
      </c>
      <c r="K21" s="1285"/>
      <c r="L21" s="1286">
        <f>+'OKT WS Q Interest Rate'!E13</f>
        <v>2.8E-3</v>
      </c>
      <c r="M21" s="1287"/>
      <c r="N21" s="1284">
        <f t="shared" ref="N21:N32" si="1">J21*L21</f>
        <v>0</v>
      </c>
      <c r="O21" s="1284"/>
      <c r="P21" s="1284">
        <f>D21+N21</f>
        <v>21904.569879192106</v>
      </c>
      <c r="R21" s="394">
        <v>1</v>
      </c>
    </row>
    <row r="22" spans="2:18" ht="15.75">
      <c r="B22" s="1283">
        <f t="shared" si="0"/>
        <v>44593</v>
      </c>
      <c r="C22" s="1249"/>
      <c r="D22" s="1284">
        <f>+D21</f>
        <v>21904.569879192106</v>
      </c>
      <c r="E22" s="1285"/>
      <c r="F22" s="1284">
        <f>D21</f>
        <v>21904.569879192106</v>
      </c>
      <c r="G22" s="1284"/>
      <c r="H22" s="1284">
        <v>0</v>
      </c>
      <c r="I22" s="1284"/>
      <c r="J22" s="1284">
        <f t="shared" ref="J22:J31" si="2">F22+H22</f>
        <v>21904.569879192106</v>
      </c>
      <c r="K22" s="1285"/>
      <c r="L22" s="1286">
        <f>+'OKT WS Q Interest Rate'!E14</f>
        <v>2.5000000000000001E-3</v>
      </c>
      <c r="M22" s="1287"/>
      <c r="N22" s="1284">
        <f t="shared" si="1"/>
        <v>54.761424697980267</v>
      </c>
      <c r="O22" s="1284"/>
      <c r="P22" s="1284">
        <f>SUM($D$21:D22)+SUM($N$21:N22)</f>
        <v>43863.901183082191</v>
      </c>
      <c r="R22" s="394">
        <v>2</v>
      </c>
    </row>
    <row r="23" spans="2:18" ht="15.75">
      <c r="B23" s="1283">
        <f t="shared" si="0"/>
        <v>44621</v>
      </c>
      <c r="C23" s="1249"/>
      <c r="D23" s="1284">
        <f>+D22</f>
        <v>21904.569879192106</v>
      </c>
      <c r="E23" s="1285"/>
      <c r="F23" s="1284">
        <f>D22+F22</f>
        <v>43809.139758384212</v>
      </c>
      <c r="G23" s="1284"/>
      <c r="H23" s="1284">
        <v>0</v>
      </c>
      <c r="I23" s="1284"/>
      <c r="J23" s="1284">
        <f t="shared" si="2"/>
        <v>43809.139758384212</v>
      </c>
      <c r="K23" s="1285"/>
      <c r="L23" s="1286">
        <f>+'OKT WS Q Interest Rate'!E15</f>
        <v>2.8E-3</v>
      </c>
      <c r="M23" s="1287"/>
      <c r="N23" s="1284">
        <f t="shared" si="1"/>
        <v>122.66559132347579</v>
      </c>
      <c r="O23" s="1284"/>
      <c r="P23" s="1284">
        <f>SUM($D$21:D23)+SUM($N$21:N23)</f>
        <v>65891.136653597772</v>
      </c>
      <c r="R23" s="394">
        <v>3</v>
      </c>
    </row>
    <row r="24" spans="2:18" ht="15.75">
      <c r="B24" s="1283">
        <f t="shared" si="0"/>
        <v>44652</v>
      </c>
      <c r="C24" s="1249"/>
      <c r="D24" s="1284">
        <f>+D23</f>
        <v>21904.569879192106</v>
      </c>
      <c r="E24" s="1285"/>
      <c r="F24" s="1284">
        <f t="shared" ref="F24:F30" si="3">D23+F23</f>
        <v>65713.709637576321</v>
      </c>
      <c r="G24" s="1284"/>
      <c r="H24" s="1284">
        <f>SUM($N$21:$N$23)</f>
        <v>177.42701602145607</v>
      </c>
      <c r="I24" s="1284"/>
      <c r="J24" s="1284">
        <f t="shared" si="2"/>
        <v>65891.136653597772</v>
      </c>
      <c r="K24" s="1285"/>
      <c r="L24" s="1286">
        <f>+'OKT WS Q Interest Rate'!E16</f>
        <v>2.7000000000000001E-3</v>
      </c>
      <c r="M24" s="1287"/>
      <c r="N24" s="1284">
        <f t="shared" si="1"/>
        <v>177.906068964714</v>
      </c>
      <c r="O24" s="1284"/>
      <c r="P24" s="1284">
        <f>SUM($D$21:D24)+SUM($N$21:N24)</f>
        <v>87973.61260175459</v>
      </c>
      <c r="R24" s="394">
        <v>4</v>
      </c>
    </row>
    <row r="25" spans="2:18" ht="15.75">
      <c r="B25" s="1283">
        <f t="shared" si="0"/>
        <v>44682</v>
      </c>
      <c r="C25" s="1249"/>
      <c r="D25" s="1284">
        <f t="shared" ref="D25:D30" si="4">+D24</f>
        <v>21904.569879192106</v>
      </c>
      <c r="E25" s="1285"/>
      <c r="F25" s="1284">
        <f t="shared" si="3"/>
        <v>87618.279516768423</v>
      </c>
      <c r="G25" s="1284"/>
      <c r="H25" s="1284">
        <f t="shared" ref="H25:H26" si="5">SUM($N$21:$N$23)</f>
        <v>177.42701602145607</v>
      </c>
      <c r="I25" s="1284"/>
      <c r="J25" s="1284">
        <f t="shared" si="2"/>
        <v>87795.706532789874</v>
      </c>
      <c r="K25" s="1285"/>
      <c r="L25" s="1286">
        <f>+'OKT WS Q Interest Rate'!E17</f>
        <v>2.8E-3</v>
      </c>
      <c r="M25" s="1287"/>
      <c r="N25" s="1284">
        <f t="shared" si="1"/>
        <v>245.82797829181163</v>
      </c>
      <c r="O25" s="1284"/>
      <c r="P25" s="1284">
        <f>SUM($D$21:D25)+SUM($N$21:N25)</f>
        <v>110124.0104592385</v>
      </c>
      <c r="R25" s="394">
        <v>5</v>
      </c>
    </row>
    <row r="26" spans="2:18" ht="15.75">
      <c r="B26" s="1283">
        <f t="shared" si="0"/>
        <v>44713</v>
      </c>
      <c r="C26" s="1249"/>
      <c r="D26" s="1284">
        <f t="shared" si="4"/>
        <v>21904.569879192106</v>
      </c>
      <c r="E26" s="1285"/>
      <c r="F26" s="1284">
        <f t="shared" si="3"/>
        <v>109522.84939596053</v>
      </c>
      <c r="G26" s="1284"/>
      <c r="H26" s="1284">
        <f t="shared" si="5"/>
        <v>177.42701602145607</v>
      </c>
      <c r="I26" s="1284"/>
      <c r="J26" s="1284">
        <f t="shared" si="2"/>
        <v>109700.27641198198</v>
      </c>
      <c r="K26" s="1285"/>
      <c r="L26" s="1286">
        <f>+'OKT WS Q Interest Rate'!E18</f>
        <v>2.7000000000000001E-3</v>
      </c>
      <c r="M26" s="1287"/>
      <c r="N26" s="1284">
        <f t="shared" si="1"/>
        <v>296.19074631235134</v>
      </c>
      <c r="O26" s="1284"/>
      <c r="P26" s="1284">
        <f>SUM($D$21:D26)+SUM($N$21:N26)</f>
        <v>132324.77108474297</v>
      </c>
      <c r="R26" s="394">
        <v>6</v>
      </c>
    </row>
    <row r="27" spans="2:18" ht="15.75">
      <c r="B27" s="1283">
        <f t="shared" si="0"/>
        <v>44743</v>
      </c>
      <c r="C27" s="1249"/>
      <c r="D27" s="1284">
        <f t="shared" si="4"/>
        <v>21904.569879192106</v>
      </c>
      <c r="E27" s="1285"/>
      <c r="F27" s="1284">
        <f t="shared" si="3"/>
        <v>131427.41927515264</v>
      </c>
      <c r="G27" s="1284"/>
      <c r="H27" s="1284">
        <f>$H$26+SUM($N$24:$N$26)</f>
        <v>897.35180959033312</v>
      </c>
      <c r="I27" s="1284"/>
      <c r="J27" s="1284">
        <f t="shared" si="2"/>
        <v>132324.77108474297</v>
      </c>
      <c r="K27" s="1285"/>
      <c r="L27" s="1286">
        <f>+'OKT WS Q Interest Rate'!E19</f>
        <v>3.0999999999999999E-3</v>
      </c>
      <c r="M27" s="1287"/>
      <c r="N27" s="1284">
        <f t="shared" si="1"/>
        <v>410.2067903627032</v>
      </c>
      <c r="O27" s="1284"/>
      <c r="P27" s="1284">
        <f>SUM($D$21:D27)+SUM($N$21:N27)</f>
        <v>154639.54775429779</v>
      </c>
      <c r="R27" s="394">
        <v>7</v>
      </c>
    </row>
    <row r="28" spans="2:18" ht="15.75">
      <c r="B28" s="1283">
        <f t="shared" si="0"/>
        <v>44774</v>
      </c>
      <c r="C28" s="1249"/>
      <c r="D28" s="1284">
        <f t="shared" si="4"/>
        <v>21904.569879192106</v>
      </c>
      <c r="E28" s="1285"/>
      <c r="F28" s="1284">
        <f t="shared" si="3"/>
        <v>153331.98915434474</v>
      </c>
      <c r="G28" s="1284"/>
      <c r="H28" s="1284">
        <f>$H$26+SUM($N$24:$N$26)</f>
        <v>897.35180959033312</v>
      </c>
      <c r="I28" s="1284"/>
      <c r="J28" s="1284">
        <f t="shared" si="2"/>
        <v>154229.34096393507</v>
      </c>
      <c r="K28" s="1285"/>
      <c r="L28" s="1286">
        <f>+'OKT WS Q Interest Rate'!E20</f>
        <v>3.0999999999999999E-3</v>
      </c>
      <c r="M28" s="1287"/>
      <c r="N28" s="1284">
        <f t="shared" si="1"/>
        <v>478.11095698819872</v>
      </c>
      <c r="O28" s="1284"/>
      <c r="P28" s="1284">
        <f>SUM($D$21:D28)+SUM($N$21:N28)</f>
        <v>177022.22859047807</v>
      </c>
      <c r="R28" s="394">
        <v>8</v>
      </c>
    </row>
    <row r="29" spans="2:18" ht="15.75">
      <c r="B29" s="1283">
        <f t="shared" si="0"/>
        <v>44805</v>
      </c>
      <c r="C29" s="1249"/>
      <c r="D29" s="1284">
        <f t="shared" si="4"/>
        <v>21904.569879192106</v>
      </c>
      <c r="E29" s="1285"/>
      <c r="F29" s="1284">
        <f t="shared" si="3"/>
        <v>175236.55903353685</v>
      </c>
      <c r="G29" s="1284"/>
      <c r="H29" s="1284">
        <f>$H$26+SUM($N$24:$N$26)</f>
        <v>897.35180959033312</v>
      </c>
      <c r="I29" s="1284"/>
      <c r="J29" s="1284">
        <f t="shared" si="2"/>
        <v>176133.91084312717</v>
      </c>
      <c r="K29" s="1285"/>
      <c r="L29" s="1286">
        <f>+'OKT WS Q Interest Rate'!E21</f>
        <v>3.0000000000000001E-3</v>
      </c>
      <c r="M29" s="1287"/>
      <c r="N29" s="1284">
        <f t="shared" si="1"/>
        <v>528.40173252938155</v>
      </c>
      <c r="O29" s="1284"/>
      <c r="P29" s="1284">
        <f>SUM($D$21:D29)+SUM($N$21:N29)</f>
        <v>199455.20020219957</v>
      </c>
      <c r="R29" s="394">
        <v>9</v>
      </c>
    </row>
    <row r="30" spans="2:18" ht="15.75">
      <c r="B30" s="1283">
        <f t="shared" si="0"/>
        <v>44835</v>
      </c>
      <c r="C30" s="1249"/>
      <c r="D30" s="1284">
        <f t="shared" si="4"/>
        <v>21904.569879192106</v>
      </c>
      <c r="E30" s="1285"/>
      <c r="F30" s="1284">
        <f t="shared" si="3"/>
        <v>197141.12891272895</v>
      </c>
      <c r="G30" s="1284"/>
      <c r="H30" s="1284">
        <f>$H$29+SUM($N$27:$N$29)</f>
        <v>2314.0712894706166</v>
      </c>
      <c r="I30" s="1284"/>
      <c r="J30" s="1284">
        <f t="shared" si="2"/>
        <v>199455.20020219957</v>
      </c>
      <c r="K30" s="1285"/>
      <c r="L30" s="1286">
        <f>+'OKT WS Q Interest Rate'!E22</f>
        <v>4.1999999999999997E-3</v>
      </c>
      <c r="M30" s="1287"/>
      <c r="N30" s="1284">
        <f t="shared" si="1"/>
        <v>837.71184084923811</v>
      </c>
      <c r="O30" s="1284"/>
      <c r="P30" s="1284">
        <f>SUM($D$21:D30)+SUM($N$21:N30)</f>
        <v>222197.4819222409</v>
      </c>
      <c r="R30" s="394">
        <v>10</v>
      </c>
    </row>
    <row r="31" spans="2:18" ht="15.75">
      <c r="B31" s="1283">
        <f t="shared" si="0"/>
        <v>44866</v>
      </c>
      <c r="C31" s="1249"/>
      <c r="D31" s="1284">
        <f>+D30</f>
        <v>21904.569879192106</v>
      </c>
      <c r="E31" s="1285"/>
      <c r="F31" s="1284">
        <f>D30+F30</f>
        <v>219045.69879192105</v>
      </c>
      <c r="G31" s="1284"/>
      <c r="H31" s="1284">
        <f>$H$29+SUM($N$27:$N$29)</f>
        <v>2314.0712894706166</v>
      </c>
      <c r="I31" s="1284"/>
      <c r="J31" s="1284">
        <f t="shared" si="2"/>
        <v>221359.77008139167</v>
      </c>
      <c r="K31" s="1285"/>
      <c r="L31" s="1286">
        <f>+'OKT WS Q Interest Rate'!E23</f>
        <v>4.0000000000000001E-3</v>
      </c>
      <c r="M31" s="1287"/>
      <c r="N31" s="1284">
        <f t="shared" si="1"/>
        <v>885.43908032556669</v>
      </c>
      <c r="O31" s="1284"/>
      <c r="P31" s="1284">
        <f>SUM($D$21:D31)+SUM($N$21:N31)</f>
        <v>244987.49088175857</v>
      </c>
      <c r="R31" s="394">
        <v>11</v>
      </c>
    </row>
    <row r="32" spans="2:18" ht="15.75">
      <c r="B32" s="1283">
        <f t="shared" si="0"/>
        <v>44896</v>
      </c>
      <c r="C32" s="1249"/>
      <c r="D32" s="1284">
        <f>+D31</f>
        <v>21904.569879192106</v>
      </c>
      <c r="E32" s="1285"/>
      <c r="F32" s="1284">
        <f>D31+F31</f>
        <v>240950.26867111315</v>
      </c>
      <c r="G32" s="1284"/>
      <c r="H32" s="1284">
        <f>$H$29+SUM($N$27:$N$29)</f>
        <v>2314.0712894706166</v>
      </c>
      <c r="I32" s="1284"/>
      <c r="J32" s="1284">
        <f>F32+H32</f>
        <v>243264.33996058378</v>
      </c>
      <c r="K32" s="1285"/>
      <c r="L32" s="1286">
        <f>+'OKT WS Q Interest Rate'!E24</f>
        <v>4.1999999999999997E-3</v>
      </c>
      <c r="M32" s="1287"/>
      <c r="N32" s="1284">
        <f t="shared" si="1"/>
        <v>1021.7102278344518</v>
      </c>
      <c r="O32" s="1284"/>
      <c r="P32" s="1284">
        <f>SUM($D$21:D32)+SUM($N$21:N32)</f>
        <v>267913.77098878514</v>
      </c>
      <c r="R32" s="394">
        <v>12</v>
      </c>
    </row>
    <row r="33" spans="2:20" ht="15.75">
      <c r="B33" s="1249"/>
      <c r="C33" s="1249"/>
      <c r="D33" s="1284"/>
      <c r="E33" s="1285"/>
      <c r="F33" s="1284"/>
      <c r="G33" s="1284"/>
      <c r="H33" s="1284"/>
      <c r="I33" s="1284"/>
      <c r="J33" s="1284"/>
      <c r="K33" s="1285"/>
      <c r="L33" s="1268"/>
      <c r="M33" s="1249"/>
      <c r="N33" s="1288"/>
      <c r="O33" s="1284"/>
      <c r="P33" s="1289"/>
    </row>
    <row r="34" spans="2:20" ht="15.75">
      <c r="B34" s="1282" t="s">
        <v>685</v>
      </c>
      <c r="C34" s="1249"/>
      <c r="D34" s="1284"/>
      <c r="E34" s="1285"/>
      <c r="F34" s="1284"/>
      <c r="G34" s="1284"/>
      <c r="H34" s="1284"/>
      <c r="I34" s="1284"/>
      <c r="J34" s="1284"/>
      <c r="K34" s="1285"/>
      <c r="L34" s="1268"/>
      <c r="M34" s="1249"/>
      <c r="N34" s="1284"/>
      <c r="O34" s="1284"/>
      <c r="P34" s="1290"/>
    </row>
    <row r="35" spans="2:20" ht="15.75">
      <c r="B35" s="1283">
        <f t="shared" ref="B35:B40" si="6">DATE($J$12,R35,1)</f>
        <v>44927</v>
      </c>
      <c r="C35" s="1249"/>
      <c r="D35" s="1284">
        <v>0</v>
      </c>
      <c r="E35" s="1285"/>
      <c r="F35" s="1284">
        <f>D32+F32</f>
        <v>262854.83855030529</v>
      </c>
      <c r="G35" s="1284"/>
      <c r="H35" s="1284">
        <f>$H$32+SUM($N$30:$N$32)</f>
        <v>5058.9324384798729</v>
      </c>
      <c r="I35" s="1284"/>
      <c r="J35" s="1284">
        <f>F35+H35</f>
        <v>267913.77098878514</v>
      </c>
      <c r="K35" s="1285"/>
      <c r="L35" s="1286">
        <f>+'OKT WS Q Interest Rate'!E25</f>
        <v>5.4000000000000003E-3</v>
      </c>
      <c r="M35" s="1287"/>
      <c r="N35" s="1284">
        <f t="shared" ref="N35:N40" si="7">J35*L35</f>
        <v>1446.7343633394398</v>
      </c>
      <c r="O35" s="1284"/>
      <c r="P35" s="1284">
        <f>SUM($D$21:D35)+SUM($N$21:N35)</f>
        <v>269360.50535212457</v>
      </c>
      <c r="R35" s="394">
        <v>1</v>
      </c>
    </row>
    <row r="36" spans="2:20" ht="15.75">
      <c r="B36" s="1283">
        <f t="shared" si="6"/>
        <v>44958</v>
      </c>
      <c r="C36" s="1249"/>
      <c r="D36" s="1284">
        <v>0</v>
      </c>
      <c r="E36" s="1285"/>
      <c r="F36" s="1284">
        <f>D35+F35</f>
        <v>262854.83855030529</v>
      </c>
      <c r="G36" s="1284"/>
      <c r="H36" s="1284">
        <f>$H$32+SUM($N$30:$N$32)</f>
        <v>5058.9324384798729</v>
      </c>
      <c r="I36" s="1284"/>
      <c r="J36" s="1284">
        <f>F36+H36</f>
        <v>267913.77098878514</v>
      </c>
      <c r="K36" s="1285"/>
      <c r="L36" s="1286">
        <f>+'OKT WS Q Interest Rate'!E26</f>
        <v>4.7999999999999996E-3</v>
      </c>
      <c r="M36" s="1287"/>
      <c r="N36" s="1284">
        <f t="shared" si="7"/>
        <v>1285.9861007461686</v>
      </c>
      <c r="O36" s="1284"/>
      <c r="P36" s="1284">
        <f>SUM($D$21:D36)+SUM($N$21:N36)</f>
        <v>270646.49145287077</v>
      </c>
      <c r="R36" s="394">
        <v>2</v>
      </c>
    </row>
    <row r="37" spans="2:20" ht="15.75">
      <c r="B37" s="1283">
        <f t="shared" si="6"/>
        <v>44986</v>
      </c>
      <c r="C37" s="1249"/>
      <c r="D37" s="1284">
        <v>0</v>
      </c>
      <c r="E37" s="1285"/>
      <c r="F37" s="1284">
        <f t="shared" ref="F37:F40" si="8">D36+F36</f>
        <v>262854.83855030529</v>
      </c>
      <c r="G37" s="1284"/>
      <c r="H37" s="1284">
        <f>$H$32+SUM($N$30:$N$32)</f>
        <v>5058.9324384798729</v>
      </c>
      <c r="I37" s="1284"/>
      <c r="J37" s="1284">
        <f t="shared" ref="J37:J40" si="9">F37+H37</f>
        <v>267913.77098878514</v>
      </c>
      <c r="K37" s="1285"/>
      <c r="L37" s="1286">
        <f>+'OKT WS Q Interest Rate'!E27</f>
        <v>5.4000000000000003E-3</v>
      </c>
      <c r="M37" s="1287"/>
      <c r="N37" s="1284">
        <f t="shared" si="7"/>
        <v>1446.7343633394398</v>
      </c>
      <c r="O37" s="1284"/>
      <c r="P37" s="1284">
        <f>SUM($D$21:D37)+SUM($N$21:N37)</f>
        <v>272093.22581621021</v>
      </c>
      <c r="R37" s="394">
        <v>3</v>
      </c>
    </row>
    <row r="38" spans="2:20" ht="15.75">
      <c r="B38" s="1283">
        <f t="shared" si="6"/>
        <v>45017</v>
      </c>
      <c r="C38" s="1249"/>
      <c r="D38" s="1284">
        <v>0</v>
      </c>
      <c r="E38" s="1285"/>
      <c r="F38" s="1284">
        <f t="shared" si="8"/>
        <v>262854.83855030529</v>
      </c>
      <c r="G38" s="1284"/>
      <c r="H38" s="1284">
        <f>$H$37+SUM($N$35:$N$37)</f>
        <v>9238.3872659049212</v>
      </c>
      <c r="I38" s="1284"/>
      <c r="J38" s="1284">
        <f>F38+H38</f>
        <v>272093.22581621021</v>
      </c>
      <c r="K38" s="1285"/>
      <c r="L38" s="1286">
        <f>+'OKT WS Q Interest Rate'!E28</f>
        <v>6.1999999999999998E-3</v>
      </c>
      <c r="M38" s="1287"/>
      <c r="N38" s="1284">
        <f t="shared" si="7"/>
        <v>1686.9780000605033</v>
      </c>
      <c r="O38" s="1284"/>
      <c r="P38" s="1284">
        <f>SUM($D$21:D38)+SUM($N$21:N38)</f>
        <v>273780.20381627069</v>
      </c>
      <c r="R38" s="394">
        <v>4</v>
      </c>
    </row>
    <row r="39" spans="2:20" ht="15.75">
      <c r="B39" s="1283">
        <f t="shared" si="6"/>
        <v>45047</v>
      </c>
      <c r="C39" s="1249"/>
      <c r="D39" s="1284">
        <v>0</v>
      </c>
      <c r="E39" s="1285"/>
      <c r="F39" s="1284">
        <f t="shared" si="8"/>
        <v>262854.83855030529</v>
      </c>
      <c r="G39" s="1284"/>
      <c r="H39" s="1284">
        <f>$H$37+SUM($N$35:$N$37)</f>
        <v>9238.3872659049212</v>
      </c>
      <c r="I39" s="1284"/>
      <c r="J39" s="1284">
        <f t="shared" si="9"/>
        <v>272093.22581621021</v>
      </c>
      <c r="K39" s="1285"/>
      <c r="L39" s="1286">
        <f>+'OKT WS Q Interest Rate'!E29</f>
        <v>6.4000000000000003E-3</v>
      </c>
      <c r="M39" s="1287"/>
      <c r="N39" s="1284">
        <f t="shared" si="7"/>
        <v>1741.3966452237455</v>
      </c>
      <c r="O39" s="1284"/>
      <c r="P39" s="1284">
        <f>SUM($D$21:D39)+SUM($N$21:N39)</f>
        <v>275521.60046149447</v>
      </c>
      <c r="R39" s="394">
        <v>5</v>
      </c>
    </row>
    <row r="40" spans="2:20" ht="16.5" thickBot="1">
      <c r="B40" s="1298">
        <f t="shared" si="6"/>
        <v>45078</v>
      </c>
      <c r="C40" s="1299"/>
      <c r="D40" s="1300">
        <v>0</v>
      </c>
      <c r="E40" s="1317"/>
      <c r="F40" s="1300">
        <f t="shared" si="8"/>
        <v>262854.83855030529</v>
      </c>
      <c r="G40" s="1300"/>
      <c r="H40" s="1300">
        <f>$H$37+SUM($N$35:$N$37)</f>
        <v>9238.3872659049212</v>
      </c>
      <c r="I40" s="1300"/>
      <c r="J40" s="1300">
        <f t="shared" si="9"/>
        <v>272093.22581621021</v>
      </c>
      <c r="K40" s="1317"/>
      <c r="L40" s="1301">
        <f>+'OKT WS Q Interest Rate'!E30</f>
        <v>6.1999999999999998E-3</v>
      </c>
      <c r="M40" s="1318"/>
      <c r="N40" s="1300">
        <f t="shared" si="7"/>
        <v>1686.9780000605033</v>
      </c>
      <c r="O40" s="1300"/>
      <c r="P40" s="1300">
        <f>SUM($D$21:D40)+SUM($N$21:N40)</f>
        <v>277208.57846155495</v>
      </c>
      <c r="R40" s="394">
        <v>6</v>
      </c>
    </row>
    <row r="41" spans="2:20" ht="15.75">
      <c r="B41" s="1249"/>
      <c r="C41" s="1249"/>
      <c r="D41" s="1266"/>
      <c r="E41" s="1266"/>
      <c r="F41" s="1266"/>
      <c r="G41" s="1266"/>
      <c r="H41" s="1266"/>
      <c r="I41" s="1266"/>
      <c r="J41" s="1266"/>
      <c r="K41" s="1266"/>
      <c r="L41" s="1249"/>
      <c r="M41" s="1249"/>
      <c r="N41" s="1284"/>
      <c r="O41" s="1284"/>
      <c r="P41" s="1284"/>
    </row>
    <row r="42" spans="2:20" ht="15">
      <c r="B42" s="404"/>
      <c r="C42" s="404"/>
      <c r="D42" s="404"/>
      <c r="E42" s="404"/>
      <c r="F42" s="404"/>
      <c r="G42" s="404"/>
      <c r="H42" s="404"/>
      <c r="I42" s="404"/>
      <c r="J42" s="404"/>
      <c r="K42" s="404"/>
      <c r="L42" s="404"/>
      <c r="M42" s="404"/>
      <c r="N42" s="1290"/>
      <c r="O42" s="1290"/>
      <c r="P42" s="1290"/>
    </row>
    <row r="43" spans="2:20" ht="15.75">
      <c r="B43" s="1302" t="s">
        <v>687</v>
      </c>
      <c r="C43" s="1303"/>
      <c r="D43" s="1303"/>
      <c r="E43" s="1303"/>
      <c r="F43" s="1303"/>
      <c r="G43" s="1303"/>
      <c r="H43" s="1303"/>
      <c r="I43" s="1303"/>
      <c r="J43" s="1303"/>
      <c r="K43" s="1303"/>
      <c r="L43" s="1303"/>
      <c r="M43" s="1303"/>
      <c r="N43" s="1319"/>
      <c r="O43" s="1304"/>
      <c r="P43" s="1305">
        <f>P40</f>
        <v>277208.57846155495</v>
      </c>
    </row>
    <row r="44" spans="2:20" ht="15.75">
      <c r="B44" s="1306" t="s">
        <v>688</v>
      </c>
      <c r="C44" s="1307"/>
      <c r="D44" s="1307"/>
      <c r="E44" s="1307"/>
      <c r="F44" s="1307"/>
      <c r="G44" s="1307"/>
      <c r="H44" s="1307"/>
      <c r="I44" s="1307"/>
      <c r="J44" s="1307"/>
      <c r="K44" s="1307"/>
      <c r="L44" s="1307"/>
      <c r="M44" s="1307"/>
      <c r="N44" s="1320"/>
      <c r="O44" s="1308"/>
      <c r="P44" s="1288">
        <f>+F13</f>
        <v>262854.83855030529</v>
      </c>
    </row>
    <row r="45" spans="2:20" ht="15.75">
      <c r="B45" s="1309" t="s">
        <v>689</v>
      </c>
      <c r="C45" s="1310"/>
      <c r="D45" s="1310"/>
      <c r="E45" s="1310"/>
      <c r="F45" s="1310"/>
      <c r="G45" s="1310"/>
      <c r="H45" s="1310"/>
      <c r="I45" s="1310"/>
      <c r="J45" s="1310"/>
      <c r="K45" s="1310"/>
      <c r="L45" s="1310"/>
      <c r="M45" s="1310"/>
      <c r="N45" s="1321"/>
      <c r="O45" s="1311"/>
      <c r="P45" s="1312">
        <f>P43-P44</f>
        <v>14353.739911249664</v>
      </c>
    </row>
    <row r="46" spans="2:20">
      <c r="B46" s="276"/>
      <c r="C46" s="276"/>
      <c r="D46" s="276"/>
      <c r="E46" s="276"/>
      <c r="F46" s="276"/>
      <c r="G46" s="276"/>
      <c r="H46" s="276"/>
      <c r="I46" s="276"/>
      <c r="J46" s="276"/>
      <c r="K46" s="276"/>
      <c r="L46" s="276"/>
      <c r="M46" s="276"/>
      <c r="N46" s="276"/>
      <c r="O46" s="276"/>
      <c r="P46" s="276"/>
    </row>
    <row r="47" spans="2:20" ht="15.75">
      <c r="B47" s="2283" t="s">
        <v>888</v>
      </c>
      <c r="C47" s="2283"/>
      <c r="D47" s="2283"/>
      <c r="E47" s="2283"/>
      <c r="F47" s="2283"/>
      <c r="G47" s="2283"/>
      <c r="H47" s="2283"/>
      <c r="I47" s="2283"/>
      <c r="J47" s="2283"/>
      <c r="K47" s="2283"/>
      <c r="L47" s="2283"/>
      <c r="M47" s="2283"/>
      <c r="N47" s="2283"/>
      <c r="O47" s="1313"/>
      <c r="P47" s="1313"/>
      <c r="T47" s="1292"/>
    </row>
    <row r="48" spans="2:20" ht="17.25" customHeight="1">
      <c r="B48" s="2283"/>
      <c r="C48" s="2283"/>
      <c r="D48" s="2283"/>
      <c r="E48" s="2283"/>
      <c r="F48" s="2283"/>
      <c r="G48" s="2283"/>
      <c r="H48" s="2283"/>
      <c r="I48" s="2283"/>
      <c r="J48" s="2283"/>
      <c r="K48" s="2283"/>
      <c r="L48" s="2283"/>
      <c r="M48" s="2283"/>
      <c r="N48" s="2283"/>
      <c r="O48" s="276"/>
      <c r="P48" s="276"/>
    </row>
    <row r="50" spans="2:14">
      <c r="B50" s="2279" t="s">
        <v>889</v>
      </c>
      <c r="C50" s="2279"/>
      <c r="D50" s="2279"/>
      <c r="E50" s="2279"/>
      <c r="F50" s="2279"/>
      <c r="G50" s="2279"/>
      <c r="H50" s="2279"/>
      <c r="I50" s="2279"/>
      <c r="J50" s="2279"/>
      <c r="K50" s="2279"/>
      <c r="L50" s="2279"/>
      <c r="M50" s="2279"/>
      <c r="N50" s="2279"/>
    </row>
    <row r="51" spans="2:14" ht="21.75" customHeight="1">
      <c r="B51" s="2279"/>
      <c r="C51" s="2279"/>
      <c r="D51" s="2279"/>
      <c r="E51" s="2279"/>
      <c r="F51" s="2279"/>
      <c r="G51" s="2279"/>
      <c r="H51" s="2279"/>
      <c r="I51" s="2279"/>
      <c r="J51" s="2279"/>
      <c r="K51" s="2279"/>
      <c r="L51" s="2279"/>
      <c r="M51" s="2279"/>
      <c r="N51" s="2279"/>
    </row>
    <row r="53" spans="2:14" ht="15.75">
      <c r="B53" s="127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9"/>
  <sheetViews>
    <sheetView zoomScaleNormal="100" workbookViewId="0">
      <selection activeCell="E12" sqref="E12"/>
    </sheetView>
  </sheetViews>
  <sheetFormatPr defaultColWidth="9.28515625" defaultRowHeight="12.75"/>
  <cols>
    <col min="1" max="1" width="11.28515625" style="1323" customWidth="1"/>
    <col min="2" max="2" width="11.7109375" style="1323" bestFit="1" customWidth="1"/>
    <col min="3" max="3" width="23.7109375" style="1323" customWidth="1"/>
    <col min="4" max="4" width="21" style="1323" customWidth="1"/>
    <col min="5" max="5" width="11.42578125" style="1323"/>
    <col min="6" max="6" width="12" style="1323" bestFit="1" customWidth="1"/>
    <col min="7" max="7" width="18.28515625" style="1323" bestFit="1" customWidth="1"/>
    <col min="8" max="8" width="21.42578125" style="394" customWidth="1"/>
    <col min="9" max="9" width="1.570312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11.28515625" style="394" hidden="1" customWidth="1"/>
    <col min="19" max="19" width="9.28515625" style="394"/>
    <col min="20" max="20" width="11.28515625" style="394" customWidth="1"/>
    <col min="21" max="16384" width="9.28515625" style="394"/>
  </cols>
  <sheetData>
    <row r="1" spans="1:7" ht="15">
      <c r="A1" s="1322"/>
    </row>
    <row r="2" spans="1:7" ht="15.75">
      <c r="A2" s="1247"/>
    </row>
    <row r="3" spans="1:7" ht="15.75">
      <c r="A3" s="1247"/>
    </row>
    <row r="4" spans="1:7" ht="15.75">
      <c r="A4" s="1247"/>
    </row>
    <row r="5" spans="1:7" ht="15.75">
      <c r="A5" s="2285" t="str">
        <f>+'OKT TCOS'!F4</f>
        <v xml:space="preserve">AEP West SPP Member Transmission Companies </v>
      </c>
      <c r="B5" s="2285"/>
      <c r="C5" s="2285"/>
      <c r="D5" s="2285"/>
      <c r="E5" s="2285"/>
      <c r="F5" s="2285"/>
      <c r="G5" s="2285"/>
    </row>
    <row r="6" spans="1:7" ht="15.75">
      <c r="A6" s="2286" t="str">
        <f>+'OKT WS A-1 - Plant'!A3</f>
        <v xml:space="preserve">Actual / Projected 2022 Rate Year Cost of Service Formula Rate </v>
      </c>
      <c r="B6" s="2286"/>
      <c r="C6" s="2286"/>
      <c r="D6" s="2286"/>
      <c r="E6" s="2286"/>
      <c r="F6" s="2286"/>
      <c r="G6" s="2286"/>
    </row>
    <row r="7" spans="1:7" ht="15.75">
      <c r="A7" s="2286" t="s">
        <v>891</v>
      </c>
      <c r="B7" s="2286"/>
      <c r="C7" s="2286"/>
      <c r="D7" s="2286"/>
      <c r="E7" s="2286"/>
      <c r="F7" s="2286"/>
      <c r="G7" s="2286"/>
    </row>
    <row r="8" spans="1:7" ht="15.75" customHeight="1">
      <c r="A8" s="2287" t="str">
        <f>+'OKT TCOS'!F8</f>
        <v>AEP OKLAHOMA TRANSMISSION COMPANY, INC.</v>
      </c>
      <c r="B8" s="2287"/>
      <c r="C8" s="2287"/>
      <c r="D8" s="2287"/>
      <c r="E8" s="2287"/>
      <c r="F8" s="2287"/>
      <c r="G8" s="2287"/>
    </row>
    <row r="10" spans="1:7" ht="13.5" customHeight="1">
      <c r="A10" s="2288" t="s">
        <v>897</v>
      </c>
      <c r="B10" s="2288"/>
      <c r="C10" s="2288"/>
      <c r="D10" s="2288"/>
      <c r="E10" s="2288"/>
      <c r="F10" s="2288"/>
      <c r="G10" s="2288"/>
    </row>
    <row r="11" spans="1:7">
      <c r="G11" s="1324"/>
    </row>
    <row r="12" spans="1:7">
      <c r="A12" s="1325"/>
      <c r="B12" s="1326" t="s">
        <v>691</v>
      </c>
      <c r="E12" s="2163"/>
    </row>
    <row r="13" spans="1:7">
      <c r="A13" s="1327">
        <v>1</v>
      </c>
      <c r="C13" s="1328">
        <f>+'OKT WS N Sch 11 TU'!B19</f>
        <v>44562</v>
      </c>
      <c r="E13" s="1919">
        <v>2.8E-3</v>
      </c>
      <c r="F13" s="2148"/>
      <c r="G13" s="1930"/>
    </row>
    <row r="14" spans="1:7">
      <c r="A14" s="1327">
        <v>2</v>
      </c>
      <c r="C14" s="1328">
        <f>+'OKT WS N Sch 11 TU'!B20</f>
        <v>44593</v>
      </c>
      <c r="E14" s="1919">
        <v>2.5000000000000001E-3</v>
      </c>
      <c r="F14" s="2148"/>
      <c r="G14" s="1930"/>
    </row>
    <row r="15" spans="1:7">
      <c r="A15" s="1327">
        <v>3</v>
      </c>
      <c r="C15" s="1328">
        <f>+'OKT WS N Sch 11 TU'!B21</f>
        <v>44621</v>
      </c>
      <c r="E15" s="1919">
        <v>2.8E-3</v>
      </c>
      <c r="F15" s="2148"/>
      <c r="G15" s="1930"/>
    </row>
    <row r="16" spans="1:7">
      <c r="A16" s="1327">
        <v>4</v>
      </c>
      <c r="C16" s="1328">
        <f>+'OKT WS N Sch 11 TU'!B22</f>
        <v>44652</v>
      </c>
      <c r="E16" s="1919">
        <v>2.7000000000000001E-3</v>
      </c>
      <c r="F16" s="2148"/>
      <c r="G16" s="1930"/>
    </row>
    <row r="17" spans="1:7">
      <c r="A17" s="1327">
        <v>5</v>
      </c>
      <c r="C17" s="1328">
        <f>+'OKT WS N Sch 11 TU'!B23</f>
        <v>44682</v>
      </c>
      <c r="E17" s="1919">
        <v>2.8E-3</v>
      </c>
      <c r="F17" s="2149"/>
      <c r="G17" s="1930"/>
    </row>
    <row r="18" spans="1:7">
      <c r="A18" s="1327">
        <v>6</v>
      </c>
      <c r="C18" s="1328">
        <f>+'OKT WS N Sch 11 TU'!B24</f>
        <v>44713</v>
      </c>
      <c r="E18" s="1919">
        <v>2.7000000000000001E-3</v>
      </c>
      <c r="F18" s="2148"/>
      <c r="G18" s="1930"/>
    </row>
    <row r="19" spans="1:7">
      <c r="A19" s="1327">
        <v>7</v>
      </c>
      <c r="C19" s="1328">
        <f>+'OKT WS N Sch 11 TU'!B25</f>
        <v>44743</v>
      </c>
      <c r="E19" s="1919">
        <v>3.0999999999999999E-3</v>
      </c>
      <c r="F19" s="2148"/>
      <c r="G19" s="1930"/>
    </row>
    <row r="20" spans="1:7">
      <c r="A20" s="1327">
        <v>8</v>
      </c>
      <c r="C20" s="1328">
        <f>+'OKT WS N Sch 11 TU'!B26</f>
        <v>44774</v>
      </c>
      <c r="E20" s="1919">
        <v>3.0999999999999999E-3</v>
      </c>
      <c r="F20" s="2148"/>
      <c r="G20" s="1930"/>
    </row>
    <row r="21" spans="1:7">
      <c r="A21" s="1327">
        <v>9</v>
      </c>
      <c r="C21" s="1328">
        <f>+'OKT WS N Sch 11 TU'!B27</f>
        <v>44805</v>
      </c>
      <c r="E21" s="1919">
        <v>3.0000000000000001E-3</v>
      </c>
      <c r="F21" s="2148"/>
      <c r="G21" s="1930"/>
    </row>
    <row r="22" spans="1:7">
      <c r="A22" s="1327">
        <v>10</v>
      </c>
      <c r="C22" s="1328">
        <f>+'OKT WS N Sch 11 TU'!B28</f>
        <v>44835</v>
      </c>
      <c r="E22" s="1919">
        <v>4.1999999999999997E-3</v>
      </c>
      <c r="F22" s="2148"/>
      <c r="G22" s="1930"/>
    </row>
    <row r="23" spans="1:7">
      <c r="A23" s="1327">
        <v>11</v>
      </c>
      <c r="C23" s="1328">
        <f>+'OKT WS N Sch 11 TU'!B29</f>
        <v>44866</v>
      </c>
      <c r="E23" s="1919">
        <v>4.0000000000000001E-3</v>
      </c>
      <c r="F23" s="2149"/>
      <c r="G23" s="1930"/>
    </row>
    <row r="24" spans="1:7">
      <c r="A24" s="1327">
        <v>12</v>
      </c>
      <c r="C24" s="1328">
        <f>+'OKT WS N Sch 11 TU'!B30</f>
        <v>44896</v>
      </c>
      <c r="E24" s="1919">
        <v>4.1999999999999997E-3</v>
      </c>
      <c r="F24" s="2148"/>
      <c r="G24" s="1930"/>
    </row>
    <row r="25" spans="1:7">
      <c r="A25" s="1327">
        <f>+A24+1</f>
        <v>13</v>
      </c>
      <c r="C25" s="1328">
        <f>+'OKT WS N Sch 11 TU'!B33</f>
        <v>44927</v>
      </c>
      <c r="E25" s="1919">
        <v>5.4000000000000003E-3</v>
      </c>
      <c r="F25" s="2148"/>
      <c r="G25" s="1930"/>
    </row>
    <row r="26" spans="1:7">
      <c r="A26" s="1327">
        <f t="shared" ref="A26:A36" si="0">+A25+1</f>
        <v>14</v>
      </c>
      <c r="C26" s="1328">
        <f>+'OKT WS N Sch 11 TU'!B34</f>
        <v>44958</v>
      </c>
      <c r="E26" s="1919">
        <v>4.7999999999999996E-3</v>
      </c>
      <c r="F26" s="2148"/>
      <c r="G26" s="1930"/>
    </row>
    <row r="27" spans="1:7">
      <c r="A27" s="1327">
        <f t="shared" si="0"/>
        <v>15</v>
      </c>
      <c r="C27" s="1328">
        <f>+'OKT WS N Sch 11 TU'!B35</f>
        <v>44986</v>
      </c>
      <c r="E27" s="1919">
        <v>5.4000000000000003E-3</v>
      </c>
      <c r="F27" s="2148"/>
      <c r="G27" s="1930"/>
    </row>
    <row r="28" spans="1:7">
      <c r="A28" s="1327">
        <f t="shared" si="0"/>
        <v>16</v>
      </c>
      <c r="C28" s="1328">
        <f>+'OKT WS N Sch 11 TU'!B36</f>
        <v>45017</v>
      </c>
      <c r="E28" s="1919">
        <v>6.1999999999999998E-3</v>
      </c>
      <c r="F28" s="2148"/>
      <c r="G28" s="1930"/>
    </row>
    <row r="29" spans="1:7">
      <c r="A29" s="1327">
        <f t="shared" si="0"/>
        <v>17</v>
      </c>
      <c r="C29" s="1328">
        <f>+'OKT WS N Sch 11 TU'!B37</f>
        <v>45047</v>
      </c>
      <c r="E29" s="1919">
        <v>6.4000000000000003E-3</v>
      </c>
      <c r="F29" s="2148"/>
      <c r="G29" s="1930"/>
    </row>
    <row r="30" spans="1:7">
      <c r="A30" s="1327">
        <f t="shared" si="0"/>
        <v>18</v>
      </c>
      <c r="C30" s="1328">
        <f>+'OKT WS N Sch 11 TU'!B38</f>
        <v>45078</v>
      </c>
      <c r="E30" s="1919">
        <v>6.1999999999999998E-3</v>
      </c>
      <c r="F30" s="2148"/>
      <c r="G30" s="1930"/>
    </row>
    <row r="31" spans="1:7">
      <c r="A31" s="1327">
        <f t="shared" si="0"/>
        <v>19</v>
      </c>
      <c r="C31" s="1328">
        <f>+'OKT WS N Sch 11 TU'!B39</f>
        <v>45108</v>
      </c>
      <c r="E31" s="1919">
        <v>6.1999999999999998E-3</v>
      </c>
      <c r="F31" s="2148"/>
      <c r="G31" s="1930"/>
    </row>
    <row r="32" spans="1:7">
      <c r="A32" s="1327">
        <f t="shared" si="0"/>
        <v>20</v>
      </c>
      <c r="C32" s="1328">
        <f>+'OKT WS N Sch 11 TU'!B40</f>
        <v>45139</v>
      </c>
      <c r="E32" s="1919">
        <v>6.1999999999999998E-3</v>
      </c>
      <c r="F32" s="2148"/>
      <c r="G32" s="1930"/>
    </row>
    <row r="33" spans="1:7">
      <c r="A33" s="1327">
        <f t="shared" si="0"/>
        <v>21</v>
      </c>
      <c r="C33" s="1328">
        <f>+'OKT WS N Sch 11 TU'!B41</f>
        <v>45170</v>
      </c>
      <c r="E33" s="1919">
        <v>6.1999999999999998E-3</v>
      </c>
      <c r="F33" s="2148"/>
      <c r="G33" s="1930"/>
    </row>
    <row r="34" spans="1:7">
      <c r="A34" s="1327">
        <f t="shared" si="0"/>
        <v>22</v>
      </c>
      <c r="C34" s="1328">
        <f>+'OKT WS N Sch 11 TU'!B42</f>
        <v>45200</v>
      </c>
      <c r="E34" s="1919">
        <v>6.1999999999999998E-3</v>
      </c>
      <c r="F34" s="2148"/>
      <c r="G34" s="1930"/>
    </row>
    <row r="35" spans="1:7">
      <c r="A35" s="1327">
        <f t="shared" si="0"/>
        <v>23</v>
      </c>
      <c r="C35" s="1328">
        <f>+'OKT WS N Sch 11 TU'!B43</f>
        <v>45231</v>
      </c>
      <c r="E35" s="1919">
        <v>6.1999999999999998E-3</v>
      </c>
      <c r="F35" s="2148"/>
      <c r="G35" s="1930"/>
    </row>
    <row r="36" spans="1:7">
      <c r="A36" s="1327">
        <f t="shared" si="0"/>
        <v>24</v>
      </c>
      <c r="C36" s="1328">
        <f>+'OKT WS N Sch 11 TU'!B44</f>
        <v>45261</v>
      </c>
      <c r="E36" s="1919">
        <v>6.1999999999999998E-3</v>
      </c>
      <c r="F36" s="2148"/>
      <c r="G36" s="1930"/>
    </row>
    <row r="37" spans="1:7">
      <c r="A37" s="1327"/>
      <c r="C37" s="1330"/>
      <c r="D37" s="1331"/>
      <c r="E37" s="1331"/>
      <c r="F37" s="1329"/>
      <c r="G37" s="1329"/>
    </row>
    <row r="38" spans="1:7">
      <c r="A38" s="1327"/>
      <c r="B38" s="1332" t="s">
        <v>692</v>
      </c>
      <c r="C38" s="1330"/>
      <c r="D38" s="1331"/>
      <c r="E38" s="1331"/>
    </row>
    <row r="39" spans="1:7">
      <c r="A39" s="1327">
        <f>A36+1</f>
        <v>25</v>
      </c>
      <c r="B39" s="1333" t="str">
        <f>"Average Monthly Rate - Lines "&amp;A25&amp;"- "&amp;A36</f>
        <v>Average Monthly Rate - Lines 13- 24</v>
      </c>
      <c r="C39" s="1334"/>
      <c r="D39" s="1331"/>
      <c r="E39" s="1335">
        <f>+AVERAGE(E25:E36)</f>
        <v>5.9666666666666653E-3</v>
      </c>
    </row>
    <row r="40" spans="1:7">
      <c r="E40" s="1336"/>
    </row>
    <row r="41" spans="1:7" ht="30.75" customHeight="1">
      <c r="A41" s="2284" t="s">
        <v>898</v>
      </c>
      <c r="B41" s="2284"/>
      <c r="C41" s="2284"/>
      <c r="D41" s="2284"/>
      <c r="E41" s="2284"/>
      <c r="F41" s="2284"/>
      <c r="G41" s="2284"/>
    </row>
    <row r="43" spans="1:7" ht="15.75">
      <c r="A43" s="1313"/>
    </row>
    <row r="46" spans="1:7" ht="15.75" customHeight="1">
      <c r="C46" s="1313"/>
      <c r="D46" s="1313"/>
      <c r="E46" s="1313"/>
      <c r="F46" s="1313"/>
      <c r="G46" s="1313"/>
    </row>
    <row r="47" spans="1:7" ht="12.75" customHeight="1">
      <c r="C47" s="1313"/>
      <c r="D47" s="1313"/>
      <c r="E47" s="1313"/>
      <c r="F47" s="1313"/>
      <c r="G47" s="1313"/>
    </row>
    <row r="49" spans="2:7" ht="12.75" customHeight="1">
      <c r="C49" s="1337"/>
      <c r="D49" s="1337"/>
      <c r="E49" s="1337"/>
      <c r="F49" s="1337"/>
      <c r="G49" s="1337"/>
    </row>
    <row r="50" spans="2:7" ht="12.75" customHeight="1">
      <c r="B50" s="1337"/>
      <c r="C50" s="1337"/>
      <c r="D50" s="1337"/>
      <c r="E50" s="1337"/>
      <c r="F50" s="1337"/>
      <c r="G50" s="133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Transco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8"/>
  <sheetViews>
    <sheetView zoomScale="81" zoomScaleNormal="81" zoomScaleSheetLayoutView="80" zoomScalePageLayoutView="90" workbookViewId="0">
      <selection activeCell="I15" sqref="I15"/>
    </sheetView>
  </sheetViews>
  <sheetFormatPr defaultColWidth="11.42578125" defaultRowHeight="12.75"/>
  <cols>
    <col min="1" max="1" width="9" style="1341" customWidth="1"/>
    <col min="2" max="2" width="4.28515625" style="710" customWidth="1"/>
    <col min="3" max="3" width="51.42578125" style="710" customWidth="1"/>
    <col min="4" max="4" width="21" style="710" customWidth="1"/>
    <col min="5" max="5" width="16.5703125" style="710" customWidth="1"/>
    <col min="6" max="6" width="18.5703125" style="710" customWidth="1"/>
    <col min="7" max="7" width="20" style="710" bestFit="1" customWidth="1"/>
    <col min="8" max="8" width="18.28515625" style="710" customWidth="1"/>
    <col min="9" max="9" width="17" style="710" customWidth="1"/>
    <col min="10" max="10" width="16" style="710" customWidth="1"/>
    <col min="11" max="11" width="16.7109375" style="710" customWidth="1"/>
    <col min="12" max="12" width="13.7109375" style="710" customWidth="1"/>
    <col min="13" max="13" width="11.5703125" style="710" customWidth="1"/>
    <col min="14" max="15" width="13.42578125" style="710" customWidth="1"/>
    <col min="16" max="16" width="13.7109375" style="710" customWidth="1"/>
    <col min="17" max="16384" width="11.42578125" style="710"/>
  </cols>
  <sheetData>
    <row r="1" spans="1:15" ht="15">
      <c r="A1" s="419"/>
    </row>
    <row r="2" spans="1:15" ht="15">
      <c r="A2" s="2186" t="str">
        <f>'OKT TCOS'!F4</f>
        <v xml:space="preserve">AEP West SPP Member Transmission Companies </v>
      </c>
      <c r="B2" s="2186"/>
      <c r="C2" s="2186"/>
      <c r="D2" s="2186"/>
      <c r="E2" s="2186"/>
      <c r="F2" s="2186"/>
      <c r="G2" s="2186"/>
      <c r="H2" s="2186"/>
      <c r="I2" s="650"/>
      <c r="J2" s="276"/>
      <c r="K2" s="276"/>
    </row>
    <row r="3" spans="1:15" ht="15">
      <c r="A3" s="2186" t="str">
        <f>"Actual / Projected "&amp;'OKT TCOS'!$N$2&amp;" Rate Year Cost of Service Formula Rate "</f>
        <v xml:space="preserve">Actual / Projected 2022 Rate Year Cost of Service Formula Rate </v>
      </c>
      <c r="B3" s="2186"/>
      <c r="C3" s="2186"/>
      <c r="D3" s="2186"/>
      <c r="E3" s="2186"/>
      <c r="F3" s="2186"/>
      <c r="G3" s="2186"/>
      <c r="H3" s="2186"/>
      <c r="I3" s="1338"/>
    </row>
    <row r="4" spans="1:15" ht="15.75">
      <c r="A4" s="2187" t="s">
        <v>895</v>
      </c>
      <c r="B4" s="2186"/>
      <c r="C4" s="2186"/>
      <c r="D4" s="2186"/>
      <c r="E4" s="2186"/>
      <c r="F4" s="2186"/>
      <c r="G4" s="2186"/>
      <c r="H4" s="2186"/>
      <c r="I4" s="652"/>
    </row>
    <row r="5" spans="1:15" ht="15.75">
      <c r="A5" s="2188" t="str">
        <f>+'OKT TCOS'!$F$8</f>
        <v>AEP OKLAHOMA TRANSMISSION COMPANY, INC.</v>
      </c>
      <c r="B5" s="2187"/>
      <c r="C5" s="2187"/>
      <c r="D5" s="2187"/>
      <c r="E5" s="2187"/>
      <c r="F5" s="2187"/>
      <c r="G5" s="2187"/>
      <c r="H5" s="2187"/>
      <c r="I5" s="1339"/>
    </row>
    <row r="6" spans="1:15" ht="15">
      <c r="A6" s="1339"/>
      <c r="B6" s="1339"/>
      <c r="C6" s="1339"/>
      <c r="F6" s="1340"/>
      <c r="G6" s="1340"/>
      <c r="H6" s="1340"/>
      <c r="I6" s="1340"/>
      <c r="J6" s="1340"/>
    </row>
    <row r="7" spans="1:15">
      <c r="C7" s="1342" t="s">
        <v>298</v>
      </c>
      <c r="D7" s="1342" t="s">
        <v>299</v>
      </c>
      <c r="E7" s="1342" t="s">
        <v>300</v>
      </c>
      <c r="F7" s="1342" t="s">
        <v>301</v>
      </c>
      <c r="G7" s="1342" t="s">
        <v>226</v>
      </c>
      <c r="H7" s="1342" t="s">
        <v>227</v>
      </c>
      <c r="I7" s="1342"/>
      <c r="J7" s="1342"/>
    </row>
    <row r="8" spans="1:15">
      <c r="A8" s="510" t="s">
        <v>305</v>
      </c>
      <c r="C8" s="1342"/>
      <c r="D8" s="1342"/>
      <c r="E8" s="1343" t="s">
        <v>766</v>
      </c>
      <c r="F8" s="665" t="s">
        <v>15</v>
      </c>
      <c r="G8" s="665" t="s">
        <v>60</v>
      </c>
      <c r="H8" s="2290" t="str">
        <f>"Average Balance for "&amp;'OKT TCOS'!$N$2&amp;""</f>
        <v>Average Balance for 2022</v>
      </c>
      <c r="I8" s="1342"/>
      <c r="J8" s="1342"/>
    </row>
    <row r="9" spans="1:15">
      <c r="A9" s="510" t="s">
        <v>243</v>
      </c>
      <c r="C9" s="665" t="s">
        <v>303</v>
      </c>
      <c r="D9" s="1344" t="s">
        <v>387</v>
      </c>
      <c r="E9" s="1344" t="s">
        <v>765</v>
      </c>
      <c r="F9" s="1345" t="str">
        <f>"12/31/"&amp;'OKT TCOS'!$N$2&amp;""</f>
        <v>12/31/2022</v>
      </c>
      <c r="G9" s="1345" t="str">
        <f>"12/31/"&amp;'OKT TCOS'!$N$2-1&amp;""</f>
        <v>12/31/2021</v>
      </c>
      <c r="H9" s="2291"/>
      <c r="I9" s="665"/>
      <c r="J9" s="665"/>
      <c r="L9" s="276"/>
      <c r="M9" s="276"/>
      <c r="N9" s="276"/>
      <c r="O9" s="276"/>
    </row>
    <row r="10" spans="1:15">
      <c r="A10" s="270"/>
      <c r="B10" s="270"/>
      <c r="C10" s="270"/>
      <c r="D10" s="270"/>
      <c r="E10" s="270"/>
      <c r="G10" s="1346"/>
      <c r="H10" s="1347"/>
      <c r="I10" s="1347"/>
      <c r="J10" s="270"/>
      <c r="K10" s="1347"/>
      <c r="L10" s="276"/>
      <c r="M10" s="276"/>
      <c r="N10" s="276"/>
      <c r="O10" s="276"/>
    </row>
    <row r="11" spans="1:15">
      <c r="A11" s="1341">
        <v>1</v>
      </c>
      <c r="C11" s="1348"/>
      <c r="D11" s="1349"/>
      <c r="E11" s="1349"/>
      <c r="F11" s="1348"/>
      <c r="G11" s="1348"/>
      <c r="H11" s="1350">
        <f t="shared" ref="H11:H15" si="0">IF(G11="",0,(F11+G11)/2)</f>
        <v>0</v>
      </c>
      <c r="I11" s="1347"/>
      <c r="J11" s="1351"/>
      <c r="L11" s="1351"/>
      <c r="M11" s="1351"/>
      <c r="N11" s="1351"/>
      <c r="O11" s="1351"/>
    </row>
    <row r="12" spans="1:15">
      <c r="A12" s="1341">
        <f>+A11+1</f>
        <v>2</v>
      </c>
      <c r="C12" s="1348"/>
      <c r="D12" s="1348"/>
      <c r="E12" s="1348"/>
      <c r="F12" s="1348"/>
      <c r="G12" s="1348"/>
      <c r="H12" s="1350">
        <f t="shared" si="0"/>
        <v>0</v>
      </c>
      <c r="J12" s="1351"/>
      <c r="L12" s="1351"/>
      <c r="M12" s="1351"/>
      <c r="N12" s="1351"/>
      <c r="O12" s="1351"/>
    </row>
    <row r="13" spans="1:15">
      <c r="A13" s="1341">
        <f>+A12+1</f>
        <v>3</v>
      </c>
      <c r="C13" s="1348"/>
      <c r="D13" s="1348"/>
      <c r="E13" s="1348"/>
      <c r="F13" s="1348"/>
      <c r="G13" s="1348"/>
      <c r="H13" s="1350">
        <f t="shared" si="0"/>
        <v>0</v>
      </c>
      <c r="J13" s="1351"/>
      <c r="L13" s="1351"/>
      <c r="M13" s="1351"/>
      <c r="N13" s="1351"/>
      <c r="O13" s="1351"/>
    </row>
    <row r="14" spans="1:15">
      <c r="A14" s="1341">
        <f>+A13+1</f>
        <v>4</v>
      </c>
      <c r="C14" s="1352"/>
      <c r="D14" s="1352"/>
      <c r="E14" s="1352"/>
      <c r="F14" s="1352"/>
      <c r="G14" s="1352"/>
      <c r="H14" s="1350">
        <f t="shared" si="0"/>
        <v>0</v>
      </c>
      <c r="J14" s="1351"/>
      <c r="L14" s="1351"/>
      <c r="M14" s="1351"/>
      <c r="N14" s="1351"/>
      <c r="O14" s="1351"/>
    </row>
    <row r="15" spans="1:15">
      <c r="A15" s="1341">
        <f>+A14+1</f>
        <v>5</v>
      </c>
      <c r="C15" s="1352"/>
      <c r="D15" s="1352"/>
      <c r="E15" s="1352"/>
      <c r="F15" s="1352"/>
      <c r="G15" s="1352"/>
      <c r="H15" s="1350">
        <f t="shared" si="0"/>
        <v>0</v>
      </c>
      <c r="J15" s="1351"/>
      <c r="L15" s="1351"/>
      <c r="M15" s="1351"/>
      <c r="N15" s="1351"/>
      <c r="O15" s="1351"/>
    </row>
    <row r="16" spans="1:15">
      <c r="A16" s="1341">
        <f>+A15+1</f>
        <v>6</v>
      </c>
      <c r="C16" s="1353" t="s">
        <v>726</v>
      </c>
      <c r="D16" s="1353"/>
      <c r="E16" s="1353"/>
      <c r="F16" s="1354">
        <f>+SUM(F11:F15)</f>
        <v>0</v>
      </c>
      <c r="G16" s="1354">
        <f>+SUM(G11:G15)</f>
        <v>0</v>
      </c>
      <c r="H16" s="1354">
        <f>+SUM(H11:H15)</f>
        <v>0</v>
      </c>
      <c r="J16" s="1351"/>
      <c r="L16" s="1351"/>
      <c r="M16" s="1351"/>
      <c r="N16" s="1351"/>
      <c r="O16" s="1351"/>
    </row>
    <row r="18" spans="1:8" ht="29.25" customHeight="1">
      <c r="A18" s="2289" t="s">
        <v>767</v>
      </c>
      <c r="B18" s="2289"/>
      <c r="C18" s="2289"/>
      <c r="D18" s="2289"/>
      <c r="E18" s="2289"/>
      <c r="F18" s="2289"/>
      <c r="G18" s="2289"/>
      <c r="H18" s="2289"/>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53"/>
  <sheetViews>
    <sheetView zoomScale="81" zoomScaleNormal="81" zoomScaleSheetLayoutView="90" zoomScalePageLayoutView="90" workbookViewId="0">
      <selection activeCell="K13" sqref="K13"/>
    </sheetView>
  </sheetViews>
  <sheetFormatPr defaultColWidth="11.42578125" defaultRowHeight="12.75"/>
  <cols>
    <col min="1" max="1" width="1.7109375" style="1341" customWidth="1"/>
    <col min="2" max="2" width="6.28515625" style="710" customWidth="1"/>
    <col min="3" max="3" width="4" style="710" customWidth="1"/>
    <col min="4" max="4" width="35.28515625" style="710" customWidth="1"/>
    <col min="5" max="5" width="14.28515625" style="710" customWidth="1"/>
    <col min="6" max="6" width="20" style="710" bestFit="1" customWidth="1"/>
    <col min="7" max="7" width="18.42578125" style="710" customWidth="1"/>
    <col min="8" max="8" width="10.7109375" style="710" customWidth="1"/>
    <col min="9" max="9" width="16" style="710" customWidth="1"/>
    <col min="10" max="10" width="13.7109375" style="710" customWidth="1"/>
    <col min="11" max="11" width="10.7109375" style="710" customWidth="1"/>
    <col min="12" max="12" width="14" style="710" customWidth="1"/>
    <col min="13" max="13" width="11.7109375" style="710" customWidth="1"/>
    <col min="14" max="14" width="14.42578125" style="710" customWidth="1"/>
    <col min="15" max="15" width="13.42578125" style="710" customWidth="1"/>
    <col min="16" max="16" width="13.7109375" style="710" customWidth="1"/>
    <col min="17" max="16384" width="11.42578125" style="710"/>
  </cols>
  <sheetData>
    <row r="1" spans="1:15" ht="15">
      <c r="A1" s="419"/>
    </row>
    <row r="2" spans="1:15" ht="15">
      <c r="A2" s="2192" t="str">
        <f>+'OKT TCOS'!F4</f>
        <v xml:space="preserve">AEP West SPP Member Transmission Companies </v>
      </c>
      <c r="B2" s="2192"/>
      <c r="C2" s="2192"/>
      <c r="D2" s="2192"/>
      <c r="E2" s="2192"/>
      <c r="F2" s="2192"/>
      <c r="G2" s="2192"/>
      <c r="H2" s="2192"/>
      <c r="I2" s="2192"/>
      <c r="J2" s="2192"/>
    </row>
    <row r="3" spans="1:15" ht="15">
      <c r="A3" s="2186" t="str">
        <f>+'OKT WS A-1 - Plant'!A3</f>
        <v xml:space="preserve">Actual / Projected 2022 Rate Year Cost of Service Formula Rate </v>
      </c>
      <c r="B3" s="2186"/>
      <c r="C3" s="2186"/>
      <c r="D3" s="2186"/>
      <c r="E3" s="2186"/>
      <c r="F3" s="2186"/>
      <c r="G3" s="2186"/>
      <c r="H3" s="2186"/>
      <c r="I3" s="2186"/>
      <c r="J3" s="2186"/>
    </row>
    <row r="4" spans="1:15" ht="15.75">
      <c r="A4" s="2187" t="s">
        <v>886</v>
      </c>
      <c r="B4" s="2186"/>
      <c r="C4" s="2186"/>
      <c r="D4" s="2186"/>
      <c r="E4" s="2186"/>
      <c r="F4" s="2186"/>
      <c r="G4" s="2186"/>
      <c r="H4" s="2186"/>
      <c r="I4" s="2186"/>
      <c r="J4" s="2186"/>
    </row>
    <row r="5" spans="1:15" ht="15.75">
      <c r="A5" s="2243" t="str">
        <f>+'OKT TCOS'!F8</f>
        <v>AEP OKLAHOMA TRANSMISSION COMPANY, INC.</v>
      </c>
      <c r="B5" s="2243"/>
      <c r="C5" s="2243"/>
      <c r="D5" s="2243"/>
      <c r="E5" s="2243"/>
      <c r="F5" s="2243"/>
      <c r="G5" s="2243"/>
      <c r="H5" s="2243"/>
      <c r="I5" s="2243"/>
      <c r="J5" s="2243"/>
    </row>
    <row r="6" spans="1:15" ht="18">
      <c r="A6" s="923"/>
      <c r="B6" s="923"/>
      <c r="C6" s="923"/>
      <c r="D6" s="923"/>
      <c r="E6" s="923"/>
      <c r="F6" s="923"/>
      <c r="H6" s="923"/>
      <c r="I6" s="923"/>
      <c r="J6" s="923"/>
      <c r="K6" s="1351"/>
      <c r="L6" s="1351"/>
      <c r="M6" s="1351"/>
      <c r="N6" s="1351"/>
      <c r="O6" s="1351"/>
    </row>
    <row r="7" spans="1:15" ht="18">
      <c r="A7" s="923"/>
      <c r="B7" s="323"/>
      <c r="C7" s="323"/>
      <c r="D7" s="2260" t="s">
        <v>298</v>
      </c>
      <c r="E7" s="2260"/>
      <c r="F7" s="553" t="s">
        <v>299</v>
      </c>
      <c r="G7" s="553" t="s">
        <v>300</v>
      </c>
      <c r="H7" s="553" t="s">
        <v>301</v>
      </c>
      <c r="I7" s="553" t="s">
        <v>226</v>
      </c>
      <c r="J7" s="923"/>
      <c r="K7" s="1351"/>
      <c r="L7" s="1351"/>
      <c r="M7" s="1351"/>
      <c r="N7" s="1351"/>
      <c r="O7" s="1351"/>
    </row>
    <row r="8" spans="1:15" ht="46.5" customHeight="1">
      <c r="A8" s="923"/>
      <c r="B8" s="712" t="s">
        <v>305</v>
      </c>
      <c r="C8" s="323"/>
      <c r="D8" s="2259" t="s">
        <v>303</v>
      </c>
      <c r="E8" s="2259"/>
      <c r="F8" s="1355" t="s">
        <v>737</v>
      </c>
      <c r="G8" s="1355" t="s">
        <v>342</v>
      </c>
      <c r="H8" s="555" t="s">
        <v>750</v>
      </c>
      <c r="I8" s="555" t="str">
        <f>+'OKT TCOS'!N2&amp;" Amortization / (Deferral)"</f>
        <v>2022 Amortization / (Deferral)</v>
      </c>
      <c r="J8" s="923"/>
      <c r="K8" s="1351"/>
      <c r="L8" s="1351"/>
      <c r="M8" s="1351"/>
      <c r="N8" s="1351"/>
      <c r="O8" s="1351"/>
    </row>
    <row r="9" spans="1:15" ht="15">
      <c r="A9" s="323"/>
      <c r="B9" s="1356"/>
      <c r="C9" s="1076"/>
      <c r="D9" s="1357"/>
      <c r="E9" s="1358"/>
      <c r="F9" s="1359"/>
      <c r="G9" s="1359"/>
      <c r="H9" s="1359"/>
      <c r="I9" s="1359"/>
      <c r="J9" s="275"/>
    </row>
    <row r="10" spans="1:15" ht="15">
      <c r="A10" s="323"/>
      <c r="B10" s="1356">
        <v>1</v>
      </c>
      <c r="C10" s="323"/>
      <c r="D10" s="1360" t="s">
        <v>752</v>
      </c>
      <c r="E10" s="1358"/>
      <c r="F10" s="1359"/>
      <c r="G10" s="1359"/>
      <c r="H10" s="1359"/>
      <c r="I10" s="1359"/>
      <c r="J10" s="275"/>
    </row>
    <row r="11" spans="1:15" ht="15">
      <c r="A11" s="323"/>
      <c r="B11" s="1361" t="str">
        <f>+B$10&amp;"a"</f>
        <v>1a</v>
      </c>
      <c r="C11" s="323"/>
      <c r="D11" s="1362"/>
      <c r="E11" s="1363"/>
      <c r="F11" s="1364"/>
      <c r="G11" s="1364"/>
      <c r="H11" s="1365"/>
      <c r="I11" s="1366"/>
      <c r="J11" s="275"/>
    </row>
    <row r="12" spans="1:15" ht="15">
      <c r="A12" s="323"/>
      <c r="B12" s="1361" t="str">
        <f>+B$10&amp;"b"</f>
        <v>1b</v>
      </c>
      <c r="C12" s="323"/>
      <c r="D12" s="1362"/>
      <c r="E12" s="1363"/>
      <c r="F12" s="1364"/>
      <c r="G12" s="1364"/>
      <c r="H12" s="1367"/>
      <c r="I12" s="1366"/>
      <c r="J12" s="275"/>
    </row>
    <row r="13" spans="1:15" ht="15">
      <c r="A13" s="323"/>
      <c r="B13" s="1361" t="str">
        <f>+B$10&amp;"c"</f>
        <v>1c</v>
      </c>
      <c r="C13" s="323"/>
      <c r="D13" s="1362"/>
      <c r="E13" s="1363"/>
      <c r="F13" s="1364"/>
      <c r="G13" s="1364"/>
      <c r="H13" s="1365"/>
      <c r="I13" s="1366"/>
      <c r="J13" s="275"/>
    </row>
    <row r="14" spans="1:15" ht="15">
      <c r="A14" s="323"/>
      <c r="B14" s="1361" t="str">
        <f>+B$10&amp;"d"</f>
        <v>1d</v>
      </c>
      <c r="C14" s="323"/>
      <c r="D14" s="1362"/>
      <c r="E14" s="1363"/>
      <c r="F14" s="1364"/>
      <c r="G14" s="1364"/>
      <c r="H14" s="1365"/>
      <c r="I14" s="1366"/>
      <c r="J14" s="275"/>
    </row>
    <row r="15" spans="1:15" ht="15">
      <c r="A15" s="323"/>
      <c r="B15" s="1361" t="str">
        <f>+B$10&amp;"e"</f>
        <v>1e</v>
      </c>
      <c r="C15" s="323"/>
      <c r="D15" s="1362"/>
      <c r="E15" s="1363"/>
      <c r="F15" s="1364"/>
      <c r="G15" s="1364"/>
      <c r="H15" s="1365"/>
      <c r="I15" s="1366"/>
      <c r="J15" s="275"/>
    </row>
    <row r="16" spans="1:15" ht="15">
      <c r="A16" s="323"/>
      <c r="B16" s="1356">
        <f>+B10+1</f>
        <v>2</v>
      </c>
      <c r="C16" s="323"/>
      <c r="D16" s="1368" t="s">
        <v>738</v>
      </c>
      <c r="E16" s="1369"/>
      <c r="F16" s="1368"/>
      <c r="G16" s="1368"/>
      <c r="H16" s="1370"/>
      <c r="I16" s="1371">
        <f>+SUM(I11:I15)</f>
        <v>0</v>
      </c>
      <c r="J16" s="275"/>
    </row>
    <row r="17" spans="1:10" ht="15">
      <c r="A17" s="323"/>
      <c r="B17" s="1356"/>
      <c r="C17" s="323"/>
      <c r="D17" s="1357"/>
      <c r="E17" s="1358"/>
      <c r="F17" s="1357"/>
      <c r="G17" s="1357"/>
      <c r="H17" s="1372"/>
      <c r="I17" s="1373"/>
      <c r="J17" s="275"/>
    </row>
    <row r="18" spans="1:10" ht="15">
      <c r="A18" s="323"/>
      <c r="B18" s="1356">
        <f>+B16+1</f>
        <v>3</v>
      </c>
      <c r="C18" s="323"/>
      <c r="D18" s="1360" t="s">
        <v>753</v>
      </c>
      <c r="E18" s="1358"/>
      <c r="F18" s="1357"/>
      <c r="G18" s="1357"/>
      <c r="H18" s="1372"/>
      <c r="I18" s="1373"/>
      <c r="J18" s="275"/>
    </row>
    <row r="19" spans="1:10" ht="15">
      <c r="A19" s="323"/>
      <c r="B19" s="1361" t="str">
        <f>+B$18&amp;"a"</f>
        <v>3a</v>
      </c>
      <c r="C19" s="323"/>
      <c r="D19" s="1362"/>
      <c r="E19" s="1363"/>
      <c r="F19" s="1364"/>
      <c r="G19" s="1364"/>
      <c r="H19" s="1365"/>
      <c r="I19" s="1366"/>
      <c r="J19" s="275"/>
    </row>
    <row r="20" spans="1:10" ht="15">
      <c r="A20" s="323"/>
      <c r="B20" s="1361" t="str">
        <f>+B$18&amp;"b"</f>
        <v>3b</v>
      </c>
      <c r="C20" s="323"/>
      <c r="D20" s="1362"/>
      <c r="E20" s="1363"/>
      <c r="F20" s="1364"/>
      <c r="G20" s="1364"/>
      <c r="H20" s="1365"/>
      <c r="I20" s="1366"/>
      <c r="J20" s="275"/>
    </row>
    <row r="21" spans="1:10" ht="15">
      <c r="A21" s="323"/>
      <c r="B21" s="1361" t="str">
        <f>+B$18&amp;"c"</f>
        <v>3c</v>
      </c>
      <c r="C21" s="323"/>
      <c r="D21" s="1362"/>
      <c r="E21" s="1363"/>
      <c r="F21" s="1364"/>
      <c r="G21" s="1364"/>
      <c r="H21" s="1365"/>
      <c r="I21" s="1366"/>
      <c r="J21" s="275"/>
    </row>
    <row r="22" spans="1:10" ht="15">
      <c r="A22" s="323"/>
      <c r="B22" s="1361" t="str">
        <f>+B$18&amp;"d"</f>
        <v>3d</v>
      </c>
      <c r="C22" s="323"/>
      <c r="D22" s="1362"/>
      <c r="E22" s="1363"/>
      <c r="F22" s="1362"/>
      <c r="G22" s="1362"/>
      <c r="H22" s="1365"/>
      <c r="I22" s="1366"/>
      <c r="J22" s="275"/>
    </row>
    <row r="23" spans="1:10" ht="15">
      <c r="A23" s="323"/>
      <c r="B23" s="1356">
        <f>+B18+1</f>
        <v>4</v>
      </c>
      <c r="C23" s="323"/>
      <c r="D23" s="1368" t="s">
        <v>739</v>
      </c>
      <c r="E23" s="1369"/>
      <c r="F23" s="1368"/>
      <c r="G23" s="1368"/>
      <c r="H23" s="1370"/>
      <c r="I23" s="1371">
        <f>+SUM(I19:I22)</f>
        <v>0</v>
      </c>
      <c r="J23" s="275"/>
    </row>
    <row r="24" spans="1:10" ht="30" customHeight="1">
      <c r="A24" s="323"/>
      <c r="B24" s="1356"/>
      <c r="C24" s="323"/>
      <c r="D24" s="1357"/>
      <c r="E24" s="1358"/>
      <c r="F24" s="1357"/>
      <c r="G24" s="1357"/>
      <c r="H24" s="1372"/>
      <c r="I24" s="1373"/>
      <c r="J24" s="275"/>
    </row>
    <row r="25" spans="1:10" ht="15">
      <c r="A25" s="323"/>
      <c r="B25" s="1356">
        <f>+B23+1</f>
        <v>5</v>
      </c>
      <c r="C25" s="323"/>
      <c r="D25" s="1360" t="s">
        <v>755</v>
      </c>
      <c r="E25" s="1358"/>
      <c r="F25" s="1359"/>
      <c r="G25" s="1359"/>
      <c r="H25" s="1359"/>
      <c r="I25" s="1359"/>
      <c r="J25" s="275"/>
    </row>
    <row r="26" spans="1:10" ht="15">
      <c r="A26" s="323"/>
      <c r="B26" s="1361" t="str">
        <f>+B$25&amp;"a"</f>
        <v>5a</v>
      </c>
      <c r="C26" s="323"/>
      <c r="D26" s="1362"/>
      <c r="E26" s="1363"/>
      <c r="F26" s="1364"/>
      <c r="G26" s="1364"/>
      <c r="H26" s="1365"/>
      <c r="I26" s="1366"/>
      <c r="J26" s="275"/>
    </row>
    <row r="27" spans="1:10" ht="15">
      <c r="A27" s="323"/>
      <c r="B27" s="1361" t="str">
        <f>+B$25&amp;"b"</f>
        <v>5b</v>
      </c>
      <c r="C27" s="323"/>
      <c r="D27" s="1362"/>
      <c r="E27" s="1363"/>
      <c r="F27" s="1364"/>
      <c r="G27" s="1364"/>
      <c r="H27" s="1365"/>
      <c r="I27" s="1366"/>
      <c r="J27" s="275"/>
    </row>
    <row r="28" spans="1:10" ht="15">
      <c r="A28" s="323"/>
      <c r="B28" s="1356">
        <f>+B25+1</f>
        <v>6</v>
      </c>
      <c r="C28" s="323"/>
      <c r="D28" s="1368" t="s">
        <v>738</v>
      </c>
      <c r="E28" s="1369"/>
      <c r="F28" s="1368"/>
      <c r="G28" s="1368"/>
      <c r="H28" s="1370"/>
      <c r="I28" s="1371">
        <f>+SUM(I26:I27)</f>
        <v>0</v>
      </c>
      <c r="J28" s="275"/>
    </row>
    <row r="29" spans="1:10" ht="15">
      <c r="A29" s="323"/>
      <c r="B29" s="1356"/>
      <c r="C29" s="323"/>
      <c r="D29" s="1357"/>
      <c r="E29" s="1358"/>
      <c r="F29" s="1357"/>
      <c r="G29" s="1357"/>
      <c r="H29" s="1372"/>
      <c r="I29" s="1373"/>
      <c r="J29" s="275"/>
    </row>
    <row r="30" spans="1:10" ht="15">
      <c r="A30" s="323"/>
      <c r="B30" s="1356">
        <f>+B28+1</f>
        <v>7</v>
      </c>
      <c r="C30" s="323"/>
      <c r="D30" s="1360" t="s">
        <v>756</v>
      </c>
      <c r="E30" s="1358"/>
      <c r="F30" s="1357"/>
      <c r="G30" s="1357"/>
      <c r="H30" s="1372"/>
      <c r="I30" s="1373"/>
      <c r="J30" s="275"/>
    </row>
    <row r="31" spans="1:10" ht="15">
      <c r="A31" s="323"/>
      <c r="B31" s="1361" t="str">
        <f>+B$30&amp;"a"</f>
        <v>7a</v>
      </c>
      <c r="C31" s="323"/>
      <c r="D31" s="1362"/>
      <c r="E31" s="1363"/>
      <c r="F31" s="1364"/>
      <c r="G31" s="1364"/>
      <c r="H31" s="1365"/>
      <c r="I31" s="1366"/>
      <c r="J31" s="275"/>
    </row>
    <row r="32" spans="1:10" ht="15">
      <c r="A32" s="323"/>
      <c r="B32" s="1361" t="str">
        <f>+B$30&amp;"b"</f>
        <v>7b</v>
      </c>
      <c r="C32" s="323"/>
      <c r="D32" s="1362"/>
      <c r="E32" s="1363"/>
      <c r="F32" s="1362"/>
      <c r="G32" s="1362"/>
      <c r="H32" s="1365"/>
      <c r="I32" s="1366"/>
      <c r="J32" s="275"/>
    </row>
    <row r="33" spans="1:14" ht="15">
      <c r="A33" s="323"/>
      <c r="B33" s="1356">
        <f>+B30+1</f>
        <v>8</v>
      </c>
      <c r="C33" s="323"/>
      <c r="D33" s="1368" t="s">
        <v>739</v>
      </c>
      <c r="E33" s="1369"/>
      <c r="F33" s="1368"/>
      <c r="G33" s="1368"/>
      <c r="H33" s="1370"/>
      <c r="I33" s="1371">
        <f>+SUM(I31:I32)</f>
        <v>0</v>
      </c>
      <c r="J33" s="275"/>
    </row>
    <row r="34" spans="1:14" ht="15">
      <c r="A34" s="323"/>
      <c r="B34" s="323"/>
      <c r="C34" s="323"/>
      <c r="D34" s="1357"/>
      <c r="E34" s="1358"/>
      <c r="F34" s="1357"/>
      <c r="G34" s="1357"/>
      <c r="H34" s="1372"/>
      <c r="I34" s="1373"/>
      <c r="J34" s="275"/>
    </row>
    <row r="36" spans="1:14" ht="15">
      <c r="D36" s="1374" t="s">
        <v>760</v>
      </c>
      <c r="K36" s="1342"/>
      <c r="L36" s="1342"/>
      <c r="M36" s="1342"/>
      <c r="N36" s="1342"/>
    </row>
    <row r="37" spans="1:14" ht="12.75" hidden="1" customHeight="1">
      <c r="K37" s="665"/>
      <c r="L37" s="665"/>
      <c r="M37" s="665"/>
    </row>
    <row r="38" spans="1:14" ht="12.75" customHeight="1">
      <c r="D38" s="2260" t="s">
        <v>298</v>
      </c>
      <c r="E38" s="2260"/>
      <c r="F38" s="553" t="s">
        <v>299</v>
      </c>
      <c r="G38" s="553" t="s">
        <v>300</v>
      </c>
      <c r="H38" s="553" t="s">
        <v>301</v>
      </c>
      <c r="I38" s="553" t="s">
        <v>226</v>
      </c>
      <c r="J38" s="553" t="s">
        <v>227</v>
      </c>
      <c r="K38" s="553" t="s">
        <v>228</v>
      </c>
      <c r="L38" s="553" t="s">
        <v>233</v>
      </c>
      <c r="M38" s="553" t="s">
        <v>174</v>
      </c>
      <c r="N38" s="553" t="s">
        <v>73</v>
      </c>
    </row>
    <row r="39" spans="1:14" ht="43.5" customHeight="1">
      <c r="B39" s="1361">
        <f>+B33+1</f>
        <v>9</v>
      </c>
      <c r="D39" s="1375" t="s">
        <v>303</v>
      </c>
      <c r="E39" s="1376" t="s">
        <v>744</v>
      </c>
      <c r="F39" s="1376" t="s">
        <v>749</v>
      </c>
      <c r="G39" s="1376" t="s">
        <v>745</v>
      </c>
      <c r="H39" s="1376" t="s">
        <v>746</v>
      </c>
      <c r="I39" s="1377" t="str">
        <f>"Balance @ 12/31/"&amp;'OKT TCOS'!$N$2&amp;""</f>
        <v>Balance @ 12/31/2022</v>
      </c>
      <c r="J39" s="1377" t="str">
        <f>"Balance @ 12/31/"&amp;'OKT TCOS'!$N$2-1&amp;""</f>
        <v>Balance @ 12/31/2021</v>
      </c>
      <c r="K39" s="1378" t="s">
        <v>349</v>
      </c>
      <c r="L39" s="1378" t="s">
        <v>762</v>
      </c>
      <c r="M39" s="1378" t="s">
        <v>751</v>
      </c>
      <c r="N39" s="1378" t="s">
        <v>747</v>
      </c>
    </row>
    <row r="40" spans="1:14">
      <c r="B40" s="1361" t="str">
        <f>+B$33+1&amp;"a"</f>
        <v>9a</v>
      </c>
      <c r="D40" s="1362"/>
      <c r="E40" s="1364"/>
      <c r="F40" s="1364"/>
      <c r="G40" s="1379"/>
      <c r="H40" s="1380"/>
      <c r="I40" s="635"/>
      <c r="J40" s="1381"/>
      <c r="K40" s="1382">
        <f>+(I40+J40)/2</f>
        <v>0</v>
      </c>
      <c r="L40" s="1383"/>
      <c r="M40" s="1384"/>
      <c r="N40" s="1350">
        <f>+K40*M40</f>
        <v>0</v>
      </c>
    </row>
    <row r="41" spans="1:14">
      <c r="B41" s="1361" t="str">
        <f>+B$33+1&amp;"b"</f>
        <v>9b</v>
      </c>
      <c r="D41" s="1362"/>
      <c r="E41" s="1364"/>
      <c r="F41" s="1364"/>
      <c r="G41" s="1379"/>
      <c r="H41" s="1380"/>
      <c r="I41" s="635"/>
      <c r="J41" s="635"/>
      <c r="K41" s="1382">
        <f t="shared" ref="K41:K44" si="0">+(I41+J41)/2</f>
        <v>0</v>
      </c>
      <c r="L41" s="1383"/>
      <c r="M41" s="1384"/>
      <c r="N41" s="1350">
        <f t="shared" ref="N41:N44" si="1">+K41*M41</f>
        <v>0</v>
      </c>
    </row>
    <row r="42" spans="1:14">
      <c r="B42" s="1361" t="str">
        <f>+B$33+1&amp;"c"</f>
        <v>9c</v>
      </c>
      <c r="D42" s="1362"/>
      <c r="E42" s="1364"/>
      <c r="F42" s="1364"/>
      <c r="G42" s="1379"/>
      <c r="H42" s="1380"/>
      <c r="I42" s="635"/>
      <c r="J42" s="635"/>
      <c r="K42" s="1382">
        <f t="shared" si="0"/>
        <v>0</v>
      </c>
      <c r="L42" s="1383"/>
      <c r="M42" s="1385"/>
      <c r="N42" s="1350">
        <f t="shared" si="1"/>
        <v>0</v>
      </c>
    </row>
    <row r="43" spans="1:14">
      <c r="B43" s="1361" t="str">
        <f>+B$33+1&amp;"d"</f>
        <v>9d</v>
      </c>
      <c r="D43" s="1362"/>
      <c r="E43" s="1364"/>
      <c r="F43" s="1364"/>
      <c r="G43" s="1379"/>
      <c r="H43" s="1380"/>
      <c r="I43" s="635"/>
      <c r="J43" s="1381"/>
      <c r="K43" s="1382">
        <f t="shared" si="0"/>
        <v>0</v>
      </c>
      <c r="L43" s="1366"/>
      <c r="M43" s="1384"/>
      <c r="N43" s="1350">
        <f t="shared" si="1"/>
        <v>0</v>
      </c>
    </row>
    <row r="44" spans="1:14">
      <c r="B44" s="1361" t="str">
        <f>+B$33+1&amp;"e"</f>
        <v>9e</v>
      </c>
      <c r="D44" s="1362"/>
      <c r="E44" s="1364"/>
      <c r="F44" s="1364"/>
      <c r="G44" s="1379"/>
      <c r="H44" s="1380"/>
      <c r="I44" s="635"/>
      <c r="J44" s="1381"/>
      <c r="K44" s="1382">
        <f t="shared" si="0"/>
        <v>0</v>
      </c>
      <c r="L44" s="1366"/>
      <c r="M44" s="1384"/>
      <c r="N44" s="1350">
        <f t="shared" si="1"/>
        <v>0</v>
      </c>
    </row>
    <row r="45" spans="1:14">
      <c r="B45" s="1361">
        <f>+B39+1</f>
        <v>10</v>
      </c>
      <c r="D45" s="1353" t="s">
        <v>748</v>
      </c>
      <c r="E45" s="1353"/>
      <c r="F45" s="1353"/>
      <c r="G45" s="1353"/>
      <c r="H45" s="1353"/>
      <c r="I45" s="1386">
        <f>+SUM(I40:I44)</f>
        <v>0</v>
      </c>
      <c r="J45" s="1386">
        <f t="shared" ref="J45:K45" si="2">+SUM(J40:J44)</f>
        <v>0</v>
      </c>
      <c r="K45" s="1386">
        <f t="shared" si="2"/>
        <v>0</v>
      </c>
      <c r="L45" s="1353"/>
      <c r="M45" s="1353"/>
      <c r="N45" s="1386">
        <f>+SUM(N40:N44)</f>
        <v>0</v>
      </c>
    </row>
    <row r="46" spans="1:14">
      <c r="B46" s="1341"/>
    </row>
    <row r="47" spans="1:14" ht="18">
      <c r="A47" s="1074"/>
      <c r="B47" s="1387" t="s">
        <v>311</v>
      </c>
      <c r="C47" s="1387"/>
      <c r="D47" s="1387"/>
      <c r="E47" s="1387"/>
      <c r="F47" s="1387"/>
      <c r="G47" s="1387"/>
      <c r="H47" s="1387"/>
      <c r="I47" s="1387"/>
      <c r="J47" s="1074"/>
    </row>
    <row r="48" spans="1:14" ht="23.25" customHeight="1">
      <c r="A48" s="1074"/>
      <c r="B48" s="1388">
        <v>1</v>
      </c>
      <c r="C48" s="1389"/>
      <c r="D48" s="2292" t="s">
        <v>757</v>
      </c>
      <c r="E48" s="2292"/>
      <c r="F48" s="2292"/>
      <c r="G48" s="2292"/>
      <c r="H48" s="2292"/>
      <c r="I48" s="2292"/>
      <c r="J48" s="2292"/>
      <c r="K48" s="2292"/>
      <c r="L48" s="2292"/>
      <c r="M48" s="2292"/>
      <c r="N48" s="2292"/>
    </row>
    <row r="49" spans="1:15" ht="18">
      <c r="A49" s="1074"/>
      <c r="B49" s="1388">
        <v>2</v>
      </c>
      <c r="C49" s="1390"/>
      <c r="D49" s="2292" t="s">
        <v>868</v>
      </c>
      <c r="E49" s="2292"/>
      <c r="F49" s="2292"/>
      <c r="G49" s="2292"/>
      <c r="H49" s="2292"/>
      <c r="I49" s="2292"/>
      <c r="J49" s="2292"/>
      <c r="K49" s="2292"/>
      <c r="L49" s="2292"/>
      <c r="M49" s="2292"/>
      <c r="N49" s="2292"/>
      <c r="O49" s="276"/>
    </row>
    <row r="50" spans="1:15" ht="33" customHeight="1">
      <c r="A50" s="1074"/>
      <c r="B50" s="1388">
        <v>3</v>
      </c>
      <c r="C50" s="1391"/>
      <c r="D50" s="2292" t="s">
        <v>754</v>
      </c>
      <c r="E50" s="2292"/>
      <c r="F50" s="2292"/>
      <c r="G50" s="2292"/>
      <c r="H50" s="2292"/>
      <c r="I50" s="2292"/>
      <c r="J50" s="2292"/>
      <c r="K50" s="2292"/>
      <c r="L50" s="2292"/>
      <c r="M50" s="2292"/>
      <c r="N50" s="2292"/>
      <c r="O50" s="276"/>
    </row>
    <row r="51" spans="1:15" ht="18">
      <c r="A51" s="923"/>
      <c r="B51" s="1388">
        <v>4</v>
      </c>
      <c r="C51" s="923"/>
      <c r="D51" s="2292" t="s">
        <v>869</v>
      </c>
      <c r="E51" s="2292"/>
      <c r="F51" s="2292"/>
      <c r="G51" s="2292"/>
      <c r="H51" s="2292"/>
      <c r="I51" s="2292"/>
      <c r="J51" s="2292"/>
      <c r="K51" s="2292"/>
      <c r="L51" s="2292"/>
      <c r="M51" s="2292"/>
      <c r="N51" s="2292"/>
      <c r="O51" s="1351"/>
    </row>
    <row r="52" spans="1:15" ht="30.75" customHeight="1">
      <c r="B52" s="1388">
        <v>5</v>
      </c>
      <c r="C52" s="923"/>
      <c r="D52" s="2292" t="s">
        <v>764</v>
      </c>
      <c r="E52" s="2292"/>
      <c r="F52" s="2292"/>
      <c r="G52" s="2292"/>
      <c r="H52" s="2292"/>
      <c r="I52" s="2292"/>
      <c r="J52" s="2292"/>
      <c r="K52" s="2292"/>
      <c r="L52" s="2292"/>
      <c r="M52" s="2292"/>
      <c r="N52" s="2292"/>
    </row>
    <row r="53" spans="1:15" ht="18">
      <c r="B53" s="1388">
        <v>6</v>
      </c>
      <c r="C53" s="923"/>
      <c r="D53" s="2292" t="s">
        <v>763</v>
      </c>
      <c r="E53" s="2292"/>
      <c r="F53" s="2292"/>
      <c r="G53" s="2292"/>
      <c r="H53" s="2292"/>
      <c r="I53" s="2292"/>
      <c r="J53" s="2292"/>
      <c r="K53" s="2292"/>
      <c r="L53" s="2292"/>
      <c r="M53" s="2292"/>
      <c r="N53" s="2292"/>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9"/>
  <sheetViews>
    <sheetView zoomScaleNormal="100" workbookViewId="0">
      <selection activeCell="Q26" sqref="Q26"/>
    </sheetView>
  </sheetViews>
  <sheetFormatPr defaultColWidth="9.28515625" defaultRowHeight="12.75"/>
  <cols>
    <col min="1" max="1" width="11.7109375" style="1393" customWidth="1"/>
    <col min="2" max="2" width="53.28515625" style="1393" customWidth="1"/>
    <col min="3" max="3" width="36.5703125" style="1393" customWidth="1"/>
    <col min="4" max="4" width="26.42578125" style="1393" customWidth="1"/>
    <col min="5" max="16384" width="9.28515625" style="1393"/>
  </cols>
  <sheetData>
    <row r="1" spans="1:10" ht="15">
      <c r="A1" s="1392"/>
    </row>
    <row r="2" spans="1:10" ht="15">
      <c r="A2" s="2295" t="s">
        <v>617</v>
      </c>
      <c r="B2" s="2295"/>
      <c r="C2" s="2295"/>
      <c r="D2" s="1394"/>
      <c r="E2" s="1394"/>
      <c r="F2" s="1394"/>
      <c r="G2" s="1394"/>
      <c r="H2" s="1394"/>
      <c r="I2" s="1394"/>
      <c r="J2" s="1394"/>
    </row>
    <row r="3" spans="1:10" ht="15">
      <c r="A3" s="2296" t="s">
        <v>1024</v>
      </c>
      <c r="B3" s="2296"/>
      <c r="C3" s="2296"/>
      <c r="D3" s="1920"/>
      <c r="E3" s="1920"/>
      <c r="F3" s="1920"/>
      <c r="G3" s="1920"/>
      <c r="H3" s="1920"/>
      <c r="I3" s="1920"/>
      <c r="J3" s="1920"/>
    </row>
    <row r="4" spans="1:10" ht="15.75">
      <c r="A4" s="2297" t="s">
        <v>887</v>
      </c>
      <c r="B4" s="2297"/>
      <c r="C4" s="2297"/>
      <c r="D4" s="1395"/>
      <c r="E4" s="1395"/>
      <c r="F4" s="1395"/>
      <c r="G4" s="1395"/>
      <c r="H4" s="1395"/>
      <c r="I4" s="1395"/>
      <c r="J4" s="1395"/>
    </row>
    <row r="5" spans="1:10" ht="15.75">
      <c r="A5" s="2298" t="str">
        <f>+'OKT TCOS'!F8</f>
        <v>AEP OKLAHOMA TRANSMISSION COMPANY, INC.</v>
      </c>
      <c r="B5" s="2298"/>
      <c r="C5" s="2298"/>
      <c r="D5" s="1396"/>
      <c r="E5" s="1396"/>
      <c r="F5" s="1396"/>
      <c r="G5" s="1396"/>
      <c r="H5" s="1396"/>
      <c r="I5" s="1396"/>
      <c r="J5" s="1396"/>
    </row>
    <row r="8" spans="1:10" ht="15.75">
      <c r="A8" s="2299" t="s">
        <v>768</v>
      </c>
      <c r="B8" s="2299"/>
      <c r="C8" s="2299"/>
    </row>
    <row r="9" spans="1:10" ht="15.75">
      <c r="A9" s="2294"/>
      <c r="B9" s="2294"/>
      <c r="C9" s="2294"/>
    </row>
    <row r="10" spans="1:10" ht="15.75">
      <c r="A10" s="1397"/>
      <c r="B10" s="1397"/>
      <c r="C10" s="1397"/>
    </row>
    <row r="11" spans="1:10" ht="15.75">
      <c r="A11" s="1397"/>
      <c r="B11" s="1397"/>
      <c r="C11" s="1397"/>
    </row>
    <row r="12" spans="1:10" ht="15.75">
      <c r="A12" s="1398" t="s">
        <v>769</v>
      </c>
      <c r="B12" s="1392"/>
      <c r="C12" s="1399"/>
    </row>
    <row r="13" spans="1:10" ht="15">
      <c r="A13" s="1400"/>
      <c r="B13" s="1392"/>
      <c r="C13" s="1392"/>
    </row>
    <row r="14" spans="1:10" ht="15">
      <c r="A14" s="1401" t="s">
        <v>770</v>
      </c>
      <c r="B14" s="1402" t="s">
        <v>771</v>
      </c>
      <c r="C14" s="1401" t="s">
        <v>772</v>
      </c>
    </row>
    <row r="15" spans="1:10" ht="15">
      <c r="A15" s="1392"/>
      <c r="B15" s="1392"/>
      <c r="C15" s="1392"/>
    </row>
    <row r="16" spans="1:10" ht="15">
      <c r="A16" s="1403">
        <v>350.1</v>
      </c>
      <c r="B16" s="1392" t="s">
        <v>773</v>
      </c>
      <c r="C16" s="1404">
        <v>1.0699999999999999E-2</v>
      </c>
    </row>
    <row r="17" spans="1:3" ht="15">
      <c r="A17" s="1405">
        <v>352</v>
      </c>
      <c r="B17" s="1392" t="s">
        <v>774</v>
      </c>
      <c r="C17" s="1404">
        <v>2.0500000000000001E-2</v>
      </c>
    </row>
    <row r="18" spans="1:3" ht="15">
      <c r="A18" s="1405">
        <v>353</v>
      </c>
      <c r="B18" s="1392" t="s">
        <v>775</v>
      </c>
      <c r="C18" s="1404">
        <v>1.72E-2</v>
      </c>
    </row>
    <row r="19" spans="1:3" ht="15">
      <c r="A19" s="1405">
        <v>354</v>
      </c>
      <c r="B19" s="1392" t="s">
        <v>776</v>
      </c>
      <c r="C19" s="1404">
        <v>1.7299999999999999E-2</v>
      </c>
    </row>
    <row r="20" spans="1:3" ht="15">
      <c r="A20" s="1405">
        <v>355</v>
      </c>
      <c r="B20" s="1392" t="s">
        <v>777</v>
      </c>
      <c r="C20" s="1404">
        <v>3.9199999999999999E-2</v>
      </c>
    </row>
    <row r="21" spans="1:3" ht="15">
      <c r="A21" s="1405">
        <v>356</v>
      </c>
      <c r="B21" s="1392" t="s">
        <v>778</v>
      </c>
      <c r="C21" s="1404">
        <v>2.18E-2</v>
      </c>
    </row>
    <row r="22" spans="1:3" ht="15">
      <c r="A22" s="1405">
        <v>358</v>
      </c>
      <c r="B22" s="1392" t="s">
        <v>779</v>
      </c>
      <c r="C22" s="1404">
        <v>2.0899999999999998E-2</v>
      </c>
    </row>
    <row r="23" spans="1:3" ht="15">
      <c r="A23" s="1392"/>
      <c r="B23" s="1392"/>
      <c r="C23" s="1406"/>
    </row>
    <row r="24" spans="1:3" ht="15">
      <c r="A24" s="1392"/>
      <c r="B24" s="1392"/>
      <c r="C24" s="1392"/>
    </row>
    <row r="25" spans="1:3" ht="15.75">
      <c r="A25" s="1398" t="s">
        <v>780</v>
      </c>
      <c r="B25" s="1392"/>
      <c r="C25" s="1392"/>
    </row>
    <row r="26" spans="1:3" ht="15.75">
      <c r="A26" s="1398"/>
      <c r="B26" s="1392"/>
      <c r="C26" s="1392"/>
    </row>
    <row r="27" spans="1:3" ht="15">
      <c r="A27" s="1401" t="s">
        <v>770</v>
      </c>
      <c r="B27" s="1402" t="s">
        <v>771</v>
      </c>
      <c r="C27" s="1401" t="s">
        <v>772</v>
      </c>
    </row>
    <row r="28" spans="1:3" ht="15">
      <c r="A28" s="1392"/>
      <c r="B28" s="1392"/>
      <c r="C28" s="1392"/>
    </row>
    <row r="29" spans="1:3" ht="15">
      <c r="A29" s="1405">
        <v>390</v>
      </c>
      <c r="B29" s="1392" t="s">
        <v>774</v>
      </c>
      <c r="C29" s="1404">
        <v>1.7600000000000001E-2</v>
      </c>
    </row>
    <row r="30" spans="1:3" ht="15">
      <c r="A30" s="1405">
        <v>391</v>
      </c>
      <c r="B30" s="1392" t="s">
        <v>781</v>
      </c>
      <c r="C30" s="1404">
        <v>2.4400000000000002E-2</v>
      </c>
    </row>
    <row r="31" spans="1:3" ht="15">
      <c r="A31" s="1407">
        <v>391.11</v>
      </c>
      <c r="B31" s="1392" t="s">
        <v>782</v>
      </c>
      <c r="C31" s="1404">
        <v>0.2</v>
      </c>
    </row>
    <row r="32" spans="1:3" ht="15">
      <c r="A32" s="1405">
        <v>392</v>
      </c>
      <c r="B32" s="1392" t="s">
        <v>783</v>
      </c>
      <c r="C32" s="1404">
        <v>6.6699999999999995E-2</v>
      </c>
    </row>
    <row r="33" spans="1:3" ht="15">
      <c r="A33" s="1405">
        <v>393</v>
      </c>
      <c r="B33" s="1392" t="s">
        <v>784</v>
      </c>
      <c r="C33" s="1404">
        <v>3.3300000000000003E-2</v>
      </c>
    </row>
    <row r="34" spans="1:3" ht="15">
      <c r="A34" s="1405">
        <v>394</v>
      </c>
      <c r="B34" s="1392" t="s">
        <v>785</v>
      </c>
      <c r="C34" s="1404">
        <v>0.04</v>
      </c>
    </row>
    <row r="35" spans="1:3" ht="15">
      <c r="A35" s="1405">
        <v>395</v>
      </c>
      <c r="B35" s="1392" t="s">
        <v>786</v>
      </c>
      <c r="C35" s="1404">
        <v>1.9400000000000001E-2</v>
      </c>
    </row>
    <row r="36" spans="1:3" ht="15">
      <c r="A36" s="1405">
        <v>396</v>
      </c>
      <c r="B36" s="1392" t="s">
        <v>787</v>
      </c>
      <c r="C36" s="1404">
        <v>4.24E-2</v>
      </c>
    </row>
    <row r="37" spans="1:3" ht="15">
      <c r="A37" s="1405">
        <v>397</v>
      </c>
      <c r="B37" s="1392" t="s">
        <v>788</v>
      </c>
      <c r="C37" s="1404">
        <v>4.5400000000000003E-2</v>
      </c>
    </row>
    <row r="38" spans="1:3" ht="15">
      <c r="A38" s="1407">
        <v>397.16</v>
      </c>
      <c r="B38" s="1392" t="s">
        <v>789</v>
      </c>
      <c r="C38" s="1404">
        <v>6.6699999999999995E-2</v>
      </c>
    </row>
    <row r="39" spans="1:3" ht="15">
      <c r="A39" s="1405">
        <v>398</v>
      </c>
      <c r="B39" s="1392" t="s">
        <v>790</v>
      </c>
      <c r="C39" s="1404">
        <v>0.05</v>
      </c>
    </row>
    <row r="40" spans="1:3" ht="15">
      <c r="A40" s="1405">
        <v>399.3</v>
      </c>
      <c r="B40" s="1392" t="s">
        <v>791</v>
      </c>
      <c r="C40" s="1404">
        <v>2.5000000000000001E-2</v>
      </c>
    </row>
    <row r="42" spans="1:3" ht="15">
      <c r="A42" s="1392"/>
    </row>
    <row r="43" spans="1:3" ht="15.75">
      <c r="A43" s="1398" t="s">
        <v>905</v>
      </c>
      <c r="C43" s="1404"/>
    </row>
    <row r="45" spans="1:3" ht="15">
      <c r="A45" s="1401" t="s">
        <v>770</v>
      </c>
      <c r="B45" s="1402" t="s">
        <v>771</v>
      </c>
      <c r="C45" s="1401" t="s">
        <v>772</v>
      </c>
    </row>
    <row r="46" spans="1:3" ht="15">
      <c r="A46" s="1392"/>
      <c r="B46" s="1392"/>
      <c r="C46" s="1392"/>
    </row>
    <row r="47" spans="1:3" ht="15">
      <c r="A47" s="1405">
        <v>303</v>
      </c>
      <c r="B47" s="1392" t="s">
        <v>907</v>
      </c>
      <c r="C47" s="1404">
        <v>0.1</v>
      </c>
    </row>
    <row r="49" spans="1:3" ht="30.75" customHeight="1">
      <c r="A49" s="2293" t="s">
        <v>906</v>
      </c>
      <c r="B49" s="2293"/>
      <c r="C49" s="2293"/>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Transco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pageSetUpPr fitToPage="1"/>
  </sheetPr>
  <dimension ref="A2:U521"/>
  <sheetViews>
    <sheetView zoomScale="60" zoomScaleNormal="60" zoomScaleSheetLayoutView="75" zoomScalePageLayoutView="70" workbookViewId="0">
      <selection activeCell="N2" sqref="N2"/>
    </sheetView>
  </sheetViews>
  <sheetFormatPr defaultColWidth="11.42578125" defaultRowHeight="15"/>
  <cols>
    <col min="1" max="1" width="4.7109375" style="53" customWidth="1"/>
    <col min="2" max="2" width="7.7109375" style="52" customWidth="1"/>
    <col min="3" max="3" width="1.7109375" style="53" customWidth="1"/>
    <col min="4" max="4" width="63.28515625" style="53" customWidth="1"/>
    <col min="5" max="5" width="37.28515625" style="53" customWidth="1"/>
    <col min="6" max="6" width="26.28515625" style="53" customWidth="1"/>
    <col min="7" max="7" width="20.7109375" style="53" customWidth="1"/>
    <col min="8" max="8" width="18.7109375" style="53" customWidth="1"/>
    <col min="9" max="9" width="9.7109375" style="53" customWidth="1"/>
    <col min="10" max="10" width="21.7109375" style="53" bestFit="1" customWidth="1"/>
    <col min="11" max="11" width="4.7109375" style="53" customWidth="1"/>
    <col min="12" max="12" width="28.28515625" style="53" customWidth="1"/>
    <col min="13" max="13" width="19.42578125" style="53" customWidth="1"/>
    <col min="14" max="14" width="12.7109375" style="53" customWidth="1"/>
    <col min="15" max="15" width="3.28515625" style="53" customWidth="1"/>
    <col min="16" max="16" width="21.7109375" style="53" customWidth="1"/>
    <col min="17" max="17" width="11.42578125" style="53" customWidth="1"/>
    <col min="18" max="18" width="20.5703125" style="53" bestFit="1" customWidth="1"/>
    <col min="19" max="16384" width="11.42578125" style="53"/>
  </cols>
  <sheetData>
    <row r="2" spans="2:16" ht="15.75">
      <c r="D2" s="270"/>
      <c r="E2" s="271"/>
      <c r="F2" s="271"/>
      <c r="G2" s="272"/>
      <c r="I2" s="273"/>
      <c r="J2" s="273"/>
      <c r="K2" s="273"/>
      <c r="N2" s="2164">
        <f>+'OKT TCOS'!N2</f>
        <v>2022</v>
      </c>
      <c r="P2" s="53" t="s">
        <v>415</v>
      </c>
    </row>
    <row r="3" spans="2:16">
      <c r="N3" s="274"/>
    </row>
    <row r="4" spans="2:16">
      <c r="D4" s="57"/>
      <c r="E4" s="57"/>
      <c r="F4" s="58" t="s">
        <v>916</v>
      </c>
      <c r="G4" s="275"/>
      <c r="H4" s="275"/>
      <c r="J4" s="57"/>
      <c r="K4" s="60"/>
      <c r="L4" s="60"/>
      <c r="M4" s="55"/>
    </row>
    <row r="5" spans="2:16">
      <c r="D5" s="57"/>
      <c r="E5" s="61"/>
      <c r="F5" s="58" t="s">
        <v>50</v>
      </c>
      <c r="G5" s="275"/>
      <c r="H5" s="275"/>
      <c r="J5" s="61"/>
      <c r="K5" s="60"/>
      <c r="L5" s="60"/>
      <c r="M5" s="55"/>
    </row>
    <row r="6" spans="2:16">
      <c r="D6" s="60"/>
      <c r="E6" s="60"/>
      <c r="F6" s="110" t="str">
        <f>"Utilizing Actual / Projected Cost Data for the "&amp;N2&amp;" Rate Year"</f>
        <v>Utilizing Actual / Projected Cost Data for the 2022 Rate Year</v>
      </c>
      <c r="G6" s="275"/>
      <c r="H6" s="275"/>
      <c r="J6" s="60"/>
      <c r="K6" s="60"/>
      <c r="L6" s="60"/>
      <c r="M6" s="55"/>
    </row>
    <row r="7" spans="2:16">
      <c r="B7" s="64"/>
      <c r="C7" s="65"/>
      <c r="D7" s="60"/>
      <c r="H7" s="66"/>
      <c r="I7" s="66"/>
      <c r="J7" s="66"/>
      <c r="K7" s="66"/>
      <c r="L7" s="60"/>
      <c r="M7" s="60"/>
    </row>
    <row r="8" spans="2:16" ht="15.75">
      <c r="B8" s="64"/>
      <c r="C8" s="65"/>
      <c r="D8" s="276"/>
      <c r="E8" s="60"/>
      <c r="F8" s="277" t="s">
        <v>923</v>
      </c>
      <c r="G8" s="68"/>
      <c r="H8" s="60"/>
      <c r="I8" s="60"/>
      <c r="J8" s="60"/>
      <c r="K8" s="60"/>
      <c r="L8" s="276"/>
      <c r="M8" s="276"/>
      <c r="N8" s="276"/>
    </row>
    <row r="9" spans="2:16">
      <c r="B9" s="64"/>
      <c r="C9" s="65"/>
      <c r="D9" s="60"/>
      <c r="E9" s="60"/>
      <c r="F9" s="278"/>
      <c r="G9" s="68"/>
      <c r="H9" s="60"/>
      <c r="I9" s="60"/>
      <c r="J9" s="60"/>
      <c r="K9" s="60"/>
      <c r="L9" s="276"/>
      <c r="M9" s="276"/>
      <c r="N9" s="276"/>
    </row>
    <row r="10" spans="2:16">
      <c r="B10" s="64" t="s">
        <v>305</v>
      </c>
      <c r="C10" s="65"/>
      <c r="D10" s="60"/>
      <c r="E10" s="60"/>
      <c r="F10" s="60"/>
      <c r="G10" s="68"/>
      <c r="H10" s="60"/>
      <c r="I10" s="60"/>
      <c r="J10" s="60"/>
      <c r="K10" s="60"/>
      <c r="L10" s="65" t="s">
        <v>252</v>
      </c>
      <c r="M10" s="276"/>
      <c r="N10" s="276"/>
    </row>
    <row r="11" spans="2:16" ht="15.75" thickBot="1">
      <c r="B11" s="73" t="s">
        <v>254</v>
      </c>
      <c r="C11" s="74"/>
      <c r="D11" s="60"/>
      <c r="E11" s="74"/>
      <c r="F11" s="60"/>
      <c r="G11" s="60"/>
      <c r="H11" s="60"/>
      <c r="I11" s="60"/>
      <c r="J11" s="60"/>
      <c r="K11" s="60"/>
      <c r="L11" s="279" t="s">
        <v>306</v>
      </c>
      <c r="M11" s="276"/>
      <c r="N11" s="276"/>
    </row>
    <row r="12" spans="2:16">
      <c r="B12" s="64">
        <v>1</v>
      </c>
      <c r="C12" s="65"/>
      <c r="D12" s="280" t="s">
        <v>248</v>
      </c>
      <c r="E12" s="60" t="str">
        <f>"(ln "&amp;B193&amp;")"</f>
        <v>(ln 117)</v>
      </c>
      <c r="F12" s="60"/>
      <c r="G12" s="281"/>
      <c r="H12" s="282"/>
      <c r="I12" s="60"/>
      <c r="J12" s="60"/>
      <c r="K12" s="60"/>
      <c r="L12" s="81">
        <f>+L193</f>
        <v>156951.63069833507</v>
      </c>
      <c r="M12" s="276"/>
      <c r="N12" s="276"/>
    </row>
    <row r="13" spans="2:16" ht="15.75" thickBot="1">
      <c r="B13" s="64"/>
      <c r="C13" s="65"/>
      <c r="E13" s="283"/>
      <c r="F13" s="61"/>
      <c r="G13" s="279" t="s">
        <v>255</v>
      </c>
      <c r="H13" s="61"/>
      <c r="I13" s="284" t="s">
        <v>256</v>
      </c>
      <c r="J13" s="284"/>
      <c r="K13" s="60"/>
      <c r="L13" s="281"/>
      <c r="M13" s="276"/>
      <c r="N13" s="276"/>
    </row>
    <row r="14" spans="2:16">
      <c r="B14" s="64">
        <f>+B12+1</f>
        <v>2</v>
      </c>
      <c r="C14" s="65"/>
      <c r="D14" s="285" t="s">
        <v>304</v>
      </c>
      <c r="E14" s="283" t="s">
        <v>597</v>
      </c>
      <c r="F14" s="61"/>
      <c r="G14" s="286">
        <f>+'SWT WS H Rev Credits'!M52</f>
        <v>41282.839999999997</v>
      </c>
      <c r="H14" s="61"/>
      <c r="I14" s="287" t="s">
        <v>266</v>
      </c>
      <c r="J14" s="288">
        <v>1</v>
      </c>
      <c r="K14" s="61"/>
      <c r="L14" s="289">
        <f>+J14*G14</f>
        <v>41282.839999999997</v>
      </c>
      <c r="M14" s="276"/>
      <c r="N14" s="276"/>
    </row>
    <row r="15" spans="2:16">
      <c r="B15" s="64"/>
      <c r="C15" s="65"/>
      <c r="D15" s="285"/>
      <c r="E15" s="283"/>
      <c r="F15" s="61"/>
      <c r="G15" s="286"/>
      <c r="H15" s="61"/>
      <c r="I15" s="287"/>
      <c r="J15" s="288"/>
      <c r="K15" s="61"/>
      <c r="L15" s="289"/>
      <c r="M15" s="276"/>
      <c r="N15" s="276"/>
    </row>
    <row r="16" spans="2:16">
      <c r="B16" s="64">
        <f>+B14+1</f>
        <v>3</v>
      </c>
      <c r="C16" s="65"/>
      <c r="D16" s="280" t="s">
        <v>528</v>
      </c>
      <c r="E16" s="283" t="s">
        <v>620</v>
      </c>
      <c r="F16" s="61"/>
      <c r="G16" s="290"/>
      <c r="H16" s="61"/>
      <c r="I16" s="287"/>
      <c r="J16" s="288"/>
      <c r="K16" s="60"/>
      <c r="L16" s="290">
        <f>+'SWT WS B - Facility credits'!D9</f>
        <v>0</v>
      </c>
      <c r="M16" s="276"/>
      <c r="N16" s="276"/>
    </row>
    <row r="17" spans="2:14">
      <c r="B17" s="64"/>
      <c r="C17" s="65"/>
      <c r="E17" s="283"/>
      <c r="F17" s="61"/>
      <c r="G17" s="74"/>
      <c r="H17" s="61"/>
      <c r="I17" s="291"/>
      <c r="J17" s="291"/>
      <c r="K17" s="60"/>
      <c r="L17" s="281"/>
      <c r="M17" s="276"/>
      <c r="N17" s="276"/>
    </row>
    <row r="18" spans="2:14" ht="15.75" thickBot="1">
      <c r="B18" s="64">
        <f>+B16+1</f>
        <v>4</v>
      </c>
      <c r="C18" s="65"/>
      <c r="D18" s="292" t="s">
        <v>33</v>
      </c>
      <c r="E18" s="283" t="str">
        <f>"(ln "&amp;B12&amp;" less ln "&amp;B14&amp;" plus ln " &amp;B16&amp;")"</f>
        <v>(ln 1 less ln 2 plus ln 3)</v>
      </c>
      <c r="F18" s="60"/>
      <c r="H18" s="61"/>
      <c r="I18" s="287"/>
      <c r="J18" s="61"/>
      <c r="K18" s="61"/>
      <c r="L18" s="293">
        <f>+L12-L14+L16</f>
        <v>115668.79069833507</v>
      </c>
      <c r="M18" s="276"/>
      <c r="N18" s="276"/>
    </row>
    <row r="19" spans="2:14" ht="15.75" thickTop="1">
      <c r="B19" s="64"/>
      <c r="C19" s="65"/>
      <c r="D19" s="285"/>
      <c r="E19" s="283"/>
      <c r="F19" s="60"/>
      <c r="H19" s="61"/>
      <c r="I19" s="287"/>
      <c r="J19" s="61"/>
      <c r="K19" s="61"/>
      <c r="L19" s="294"/>
      <c r="M19" s="276"/>
      <c r="N19" s="276"/>
    </row>
    <row r="20" spans="2:14" ht="15" customHeight="1">
      <c r="B20" s="2172"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72"/>
      <c r="D20" s="2172"/>
      <c r="E20" s="2172"/>
      <c r="F20" s="2172"/>
      <c r="G20" s="2172"/>
      <c r="H20" s="2172"/>
      <c r="I20" s="2172"/>
      <c r="J20" s="276"/>
      <c r="M20" s="276"/>
      <c r="N20" s="276"/>
    </row>
    <row r="21" spans="2:14" ht="18.75" customHeight="1">
      <c r="B21" s="2172"/>
      <c r="C21" s="2172"/>
      <c r="D21" s="2172"/>
      <c r="E21" s="2172"/>
      <c r="F21" s="2172"/>
      <c r="G21" s="2172"/>
      <c r="H21" s="2172"/>
      <c r="I21" s="2172"/>
      <c r="J21" s="276"/>
      <c r="K21" s="276"/>
      <c r="L21" s="276"/>
      <c r="M21" s="276"/>
      <c r="N21" s="276"/>
    </row>
    <row r="22" spans="2:14" ht="15" customHeight="1">
      <c r="B22" s="295"/>
      <c r="C22" s="295"/>
      <c r="D22" s="295"/>
      <c r="E22" s="295"/>
      <c r="F22" s="295"/>
      <c r="G22" s="295"/>
      <c r="H22" s="295"/>
      <c r="I22" s="295"/>
      <c r="M22" s="276"/>
      <c r="N22" s="276"/>
    </row>
    <row r="23" spans="2:14">
      <c r="B23" s="64">
        <f>+B18+1</f>
        <v>5</v>
      </c>
      <c r="C23" s="65"/>
      <c r="D23" s="2181" t="s">
        <v>621</v>
      </c>
      <c r="E23" s="2182"/>
      <c r="F23" s="61"/>
      <c r="G23" s="296">
        <f>+'SWT WS F BPU ATRR'!L19</f>
        <v>0</v>
      </c>
      <c r="H23" s="61"/>
      <c r="I23" s="287" t="s">
        <v>266</v>
      </c>
      <c r="J23" s="288">
        <v>1</v>
      </c>
      <c r="K23" s="60"/>
      <c r="L23" s="294">
        <f>+J23*G23</f>
        <v>0</v>
      </c>
      <c r="M23" s="276"/>
      <c r="N23" s="276"/>
    </row>
    <row r="24" spans="2:14">
      <c r="B24" s="64"/>
      <c r="C24" s="65"/>
      <c r="D24" s="2182"/>
      <c r="E24" s="2182"/>
      <c r="F24" s="61"/>
      <c r="G24" s="296"/>
      <c r="H24" s="61"/>
      <c r="I24" s="61"/>
      <c r="J24" s="288"/>
      <c r="K24" s="60"/>
      <c r="L24" s="294"/>
      <c r="M24" s="276"/>
      <c r="N24" s="276"/>
    </row>
    <row r="25" spans="2:14">
      <c r="B25" s="64">
        <f>+B23+1</f>
        <v>6</v>
      </c>
      <c r="C25" s="65"/>
      <c r="D25" s="285" t="s">
        <v>34</v>
      </c>
      <c r="E25" s="283"/>
      <c r="F25" s="60"/>
      <c r="G25" s="297"/>
      <c r="H25" s="60"/>
      <c r="J25" s="60"/>
      <c r="K25" s="60"/>
      <c r="M25" s="276"/>
      <c r="N25" s="276"/>
    </row>
    <row r="26" spans="2:14">
      <c r="B26" s="64">
        <f>B25+1</f>
        <v>7</v>
      </c>
      <c r="C26" s="65"/>
      <c r="D26" s="57" t="s">
        <v>365</v>
      </c>
      <c r="E26" s="60" t="str">
        <f>"(ln "&amp;B12&amp;"/ ln "&amp;B79&amp;" x 100%)"</f>
        <v>(ln 1/ ln 37 x 100%)</v>
      </c>
      <c r="F26" s="65"/>
      <c r="G26" s="65"/>
      <c r="H26" s="65"/>
      <c r="I26" s="298"/>
      <c r="J26" s="298"/>
      <c r="K26" s="298"/>
      <c r="L26" s="299">
        <f>IF(L79=0,0,(L12)/L79)</f>
        <v>204037119907.83557</v>
      </c>
      <c r="M26" s="276"/>
      <c r="N26" s="276"/>
    </row>
    <row r="27" spans="2:14">
      <c r="B27" s="64">
        <f>B26+1</f>
        <v>8</v>
      </c>
      <c r="C27" s="65"/>
      <c r="D27" s="57" t="s">
        <v>366</v>
      </c>
      <c r="E27" s="60" t="str">
        <f>"(ln "&amp;B26&amp;" / 12)"</f>
        <v>(ln 7 / 12)</v>
      </c>
      <c r="F27" s="65"/>
      <c r="G27" s="65"/>
      <c r="H27" s="65"/>
      <c r="I27" s="298"/>
      <c r="J27" s="298"/>
      <c r="K27" s="298"/>
      <c r="L27" s="300">
        <f>L26/12</f>
        <v>17003093325.652964</v>
      </c>
      <c r="M27" s="276"/>
      <c r="N27" s="276"/>
    </row>
    <row r="28" spans="2:14">
      <c r="B28" s="64"/>
      <c r="C28" s="65"/>
      <c r="D28" s="57"/>
      <c r="E28" s="60"/>
      <c r="F28" s="65"/>
      <c r="G28" s="65"/>
      <c r="H28" s="65"/>
      <c r="I28" s="298"/>
      <c r="J28" s="298"/>
      <c r="K28" s="298"/>
      <c r="L28" s="300"/>
      <c r="M28" s="276"/>
      <c r="N28" s="276"/>
    </row>
    <row r="29" spans="2:14">
      <c r="B29" s="64">
        <f>B27+1</f>
        <v>9</v>
      </c>
      <c r="C29" s="65"/>
      <c r="D29" s="285" t="str">
        <f>"NET PLANT CARRYING CHARGE ON LINE "&amp;B26&amp;" , W/O DEPRECIATION (w/o incentives) (Note B)"</f>
        <v>NET PLANT CARRYING CHARGE ON LINE 7 , W/O DEPRECIATION (w/o incentives) (Note B)</v>
      </c>
      <c r="E29" s="60"/>
      <c r="F29" s="65"/>
      <c r="G29" s="65"/>
      <c r="H29" s="65"/>
      <c r="I29" s="298"/>
      <c r="J29" s="298"/>
      <c r="K29" s="298"/>
      <c r="L29" s="300"/>
      <c r="M29" s="276"/>
      <c r="N29" s="276"/>
    </row>
    <row r="30" spans="2:14">
      <c r="B30" s="64">
        <f>B29+1</f>
        <v>10</v>
      </c>
      <c r="C30" s="65"/>
      <c r="D30" s="57" t="s">
        <v>365</v>
      </c>
      <c r="E30" s="60" t="str">
        <f>"( (ln "&amp;B12&amp;" - ln "&amp;B153&amp;") / ln "&amp;B79&amp;" x 100%)"</f>
        <v>( (ln 1 - ln 86) / ln 37 x 100%)</v>
      </c>
      <c r="F30" s="65"/>
      <c r="G30" s="65"/>
      <c r="H30" s="65"/>
      <c r="I30" s="298"/>
      <c r="J30" s="298"/>
      <c r="K30" s="298"/>
      <c r="L30" s="299">
        <f>IF(L79=0,0,(L12-L153)/L79)</f>
        <v>204037119907.83557</v>
      </c>
      <c r="M30" s="276"/>
      <c r="N30" s="276"/>
    </row>
    <row r="31" spans="2:14">
      <c r="B31" s="64"/>
      <c r="C31" s="65"/>
      <c r="D31" s="57"/>
      <c r="E31" s="60"/>
      <c r="F31" s="65"/>
      <c r="G31" s="65"/>
      <c r="H31" s="65"/>
      <c r="I31" s="298"/>
      <c r="J31" s="298"/>
      <c r="K31" s="298"/>
      <c r="L31" s="300"/>
      <c r="M31" s="276"/>
      <c r="N31" s="276"/>
    </row>
    <row r="32" spans="2:14">
      <c r="B32" s="64">
        <f>B30+1</f>
        <v>11</v>
      </c>
      <c r="C32" s="65"/>
      <c r="D32" s="285" t="str">
        <f>"NET PLANT CARRYING CHARGE ON LINE "&amp;B29&amp;", W/O  INCOME TAXES, RETURN  (Note B)"</f>
        <v>NET PLANT CARRYING CHARGE ON LINE 9, W/O  INCOME TAXES, RETURN  (Note B)</v>
      </c>
      <c r="E32" s="60"/>
      <c r="F32" s="65"/>
      <c r="G32" s="65"/>
      <c r="H32" s="65"/>
      <c r="I32" s="298"/>
      <c r="J32" s="298"/>
      <c r="K32" s="298"/>
      <c r="L32" s="299"/>
      <c r="M32" s="276"/>
      <c r="N32" s="276"/>
    </row>
    <row r="33" spans="2:16">
      <c r="B33" s="64">
        <f>B32+1</f>
        <v>12</v>
      </c>
      <c r="C33" s="65"/>
      <c r="D33" s="57" t="s">
        <v>365</v>
      </c>
      <c r="E33" s="60" t="str">
        <f>"( (ln "&amp;B12&amp;" - ln "&amp;B153&amp;" - ln "&amp;B182&amp;" - ln "&amp;B184&amp;") / ln "&amp;B79&amp;" x 100%)"</f>
        <v>( (ln 1 - ln 86 - ln 111 - ln 112) / ln 37 x 100%)</v>
      </c>
      <c r="F33" s="65"/>
      <c r="G33" s="65"/>
      <c r="H33" s="65"/>
      <c r="I33" s="298"/>
      <c r="J33" s="298"/>
      <c r="K33" s="298"/>
      <c r="L33" s="301">
        <f>IF(L79=0,0,(L12-L153-L182-L184)/L79)</f>
        <v>121371794699.99998</v>
      </c>
      <c r="M33" s="276"/>
      <c r="N33" s="276"/>
    </row>
    <row r="34" spans="2:16">
      <c r="B34" s="64"/>
      <c r="C34" s="65"/>
      <c r="D34" s="57"/>
      <c r="E34" s="60"/>
      <c r="F34" s="65"/>
      <c r="G34" s="65"/>
      <c r="H34" s="65"/>
      <c r="I34" s="298"/>
      <c r="J34" s="298"/>
      <c r="K34" s="298"/>
      <c r="L34" s="299"/>
      <c r="M34" s="276"/>
      <c r="N34" s="276"/>
    </row>
    <row r="35" spans="2:16">
      <c r="B35" s="64">
        <f>B33+1</f>
        <v>13</v>
      </c>
      <c r="C35" s="65"/>
      <c r="D35" s="280" t="s">
        <v>648</v>
      </c>
      <c r="E35" s="60"/>
      <c r="F35" s="65"/>
      <c r="G35" s="65"/>
      <c r="H35" s="65"/>
      <c r="I35" s="298"/>
      <c r="J35" s="298"/>
      <c r="K35" s="298"/>
      <c r="L35" s="302">
        <f>+'SWT WS G BPU ATRR'!P19</f>
        <v>0</v>
      </c>
      <c r="M35" s="276"/>
      <c r="N35" s="276"/>
    </row>
    <row r="36" spans="2:16">
      <c r="B36" s="64"/>
      <c r="C36" s="65"/>
      <c r="E36" s="60"/>
      <c r="F36" s="65"/>
      <c r="G36" s="65"/>
      <c r="H36" s="65"/>
      <c r="I36" s="298"/>
      <c r="J36" s="298"/>
      <c r="K36" s="298"/>
      <c r="L36" s="299"/>
      <c r="M36" s="276"/>
      <c r="N36" s="276"/>
    </row>
    <row r="37" spans="2:16">
      <c r="B37" s="53"/>
      <c r="C37" s="65"/>
      <c r="E37" s="60"/>
      <c r="F37" s="65"/>
      <c r="G37" s="65"/>
      <c r="H37" s="65"/>
      <c r="I37" s="298"/>
      <c r="J37" s="298"/>
      <c r="K37" s="298"/>
      <c r="L37" s="299"/>
      <c r="M37" s="276"/>
      <c r="N37" s="276"/>
    </row>
    <row r="38" spans="2:16">
      <c r="B38" s="64"/>
      <c r="C38" s="65"/>
      <c r="E38" s="60"/>
      <c r="F38" s="65"/>
      <c r="G38" s="65"/>
      <c r="H38" s="65"/>
      <c r="I38" s="298"/>
      <c r="J38" s="298"/>
      <c r="K38" s="298"/>
      <c r="L38" s="299"/>
      <c r="M38" s="276"/>
      <c r="N38" s="276"/>
    </row>
    <row r="39" spans="2:16">
      <c r="B39" s="64"/>
      <c r="C39" s="65"/>
      <c r="E39" s="60"/>
      <c r="F39" s="65"/>
      <c r="G39" s="65"/>
      <c r="H39" s="65"/>
      <c r="I39" s="298"/>
      <c r="J39" s="298"/>
      <c r="K39" s="298"/>
      <c r="L39" s="299"/>
      <c r="M39" s="276"/>
      <c r="N39" s="276"/>
    </row>
    <row r="40" spans="2:16">
      <c r="D40" s="57"/>
      <c r="E40" s="57"/>
      <c r="G40" s="282"/>
      <c r="H40" s="57"/>
      <c r="I40" s="57"/>
      <c r="J40" s="57"/>
      <c r="K40" s="57"/>
      <c r="L40" s="57"/>
      <c r="M40" s="276"/>
      <c r="N40" s="276"/>
    </row>
    <row r="41" spans="2:16">
      <c r="D41" s="57"/>
      <c r="E41" s="57"/>
      <c r="F41" s="65"/>
      <c r="G41" s="282"/>
      <c r="H41" s="57"/>
      <c r="I41" s="57"/>
      <c r="J41" s="57"/>
      <c r="K41" s="57"/>
      <c r="L41" s="57"/>
      <c r="M41" s="276"/>
      <c r="N41" s="276"/>
      <c r="P41" s="303"/>
    </row>
    <row r="42" spans="2:16">
      <c r="D42" s="57"/>
      <c r="E42" s="57"/>
      <c r="F42" s="65" t="str">
        <f>F4</f>
        <v xml:space="preserve">AEP West SPP Member Transmission Companies </v>
      </c>
      <c r="G42" s="282"/>
      <c r="H42" s="57"/>
      <c r="I42" s="57"/>
      <c r="J42" s="57"/>
      <c r="K42" s="57"/>
      <c r="L42" s="57"/>
      <c r="M42" s="276"/>
      <c r="N42" s="276"/>
      <c r="P42" s="303"/>
    </row>
    <row r="43" spans="2:16">
      <c r="D43" s="57"/>
      <c r="E43" s="61"/>
      <c r="F43" s="65" t="str">
        <f>F5</f>
        <v>Transmission Cost of Service Formula Rate</v>
      </c>
      <c r="G43" s="61"/>
      <c r="H43" s="61"/>
      <c r="I43" s="61"/>
      <c r="J43" s="61"/>
      <c r="K43" s="61"/>
      <c r="L43" s="61"/>
      <c r="M43" s="276"/>
      <c r="N43" s="276"/>
      <c r="P43" s="304"/>
    </row>
    <row r="44" spans="2:16">
      <c r="D44" s="57"/>
      <c r="E44" s="61"/>
      <c r="F44" s="287" t="str">
        <f>F6</f>
        <v>Utilizing Actual / Projected Cost Data for the 2022 Rate Year</v>
      </c>
      <c r="G44" s="61"/>
      <c r="H44" s="61"/>
      <c r="I44" s="61"/>
      <c r="J44" s="61"/>
      <c r="K44" s="61"/>
      <c r="L44" s="61"/>
      <c r="M44" s="276"/>
      <c r="N44" s="276"/>
      <c r="P44" s="304"/>
    </row>
    <row r="45" spans="2:16">
      <c r="D45" s="57"/>
      <c r="E45" s="61"/>
      <c r="F45" s="65"/>
      <c r="G45" s="61"/>
      <c r="H45" s="61"/>
      <c r="I45" s="61"/>
      <c r="J45" s="61"/>
      <c r="K45" s="61"/>
      <c r="L45" s="61"/>
      <c r="M45" s="276"/>
      <c r="N45" s="276"/>
      <c r="P45" s="304"/>
    </row>
    <row r="46" spans="2:16">
      <c r="D46" s="57"/>
      <c r="E46" s="61"/>
      <c r="F46" s="65" t="str">
        <f>F8</f>
        <v>AEP SOUTHWESTERN TRANSMISSION COMPANY</v>
      </c>
      <c r="G46" s="61"/>
      <c r="H46" s="61"/>
      <c r="I46" s="61"/>
      <c r="J46" s="61"/>
      <c r="K46" s="61"/>
      <c r="L46" s="61"/>
      <c r="M46" s="276"/>
      <c r="N46" s="276"/>
      <c r="P46" s="304"/>
    </row>
    <row r="47" spans="2:16">
      <c r="D47" s="57"/>
      <c r="E47" s="287"/>
      <c r="F47" s="287"/>
      <c r="G47" s="287"/>
      <c r="H47" s="287"/>
      <c r="I47" s="287"/>
      <c r="J47" s="287"/>
      <c r="K47" s="287"/>
      <c r="L47" s="61"/>
      <c r="M47" s="276"/>
      <c r="N47" s="276"/>
      <c r="P47" s="304"/>
    </row>
    <row r="48" spans="2:16">
      <c r="D48" s="65" t="s">
        <v>258</v>
      </c>
      <c r="E48" s="65" t="s">
        <v>259</v>
      </c>
      <c r="F48" s="65"/>
      <c r="G48" s="65" t="s">
        <v>260</v>
      </c>
      <c r="H48" s="61" t="s">
        <v>251</v>
      </c>
      <c r="I48" s="2175" t="s">
        <v>261</v>
      </c>
      <c r="J48" s="2176"/>
      <c r="K48" s="61"/>
      <c r="L48" s="66" t="s">
        <v>262</v>
      </c>
      <c r="M48" s="276"/>
      <c r="N48" s="276"/>
    </row>
    <row r="49" spans="2:16">
      <c r="B49" s="53"/>
      <c r="D49" s="276"/>
      <c r="E49" s="276"/>
      <c r="F49" s="276"/>
      <c r="G49" s="305"/>
      <c r="H49" s="61"/>
      <c r="I49" s="61"/>
      <c r="J49" s="306"/>
      <c r="K49" s="61"/>
      <c r="M49" s="276"/>
      <c r="N49" s="276"/>
    </row>
    <row r="50" spans="2:16" ht="15.75">
      <c r="B50" s="307"/>
      <c r="C50" s="65"/>
      <c r="D50" s="276"/>
      <c r="E50" s="308" t="s">
        <v>237</v>
      </c>
      <c r="F50" s="70"/>
      <c r="G50" s="61"/>
      <c r="H50" s="61"/>
      <c r="I50" s="61"/>
      <c r="J50" s="65"/>
      <c r="K50" s="61"/>
      <c r="L50" s="67" t="s">
        <v>255</v>
      </c>
      <c r="M50" s="276"/>
      <c r="N50" s="276"/>
      <c r="P50" s="303"/>
    </row>
    <row r="51" spans="2:16" ht="15.75">
      <c r="B51" s="53"/>
      <c r="C51" s="74"/>
      <c r="D51" s="309" t="s">
        <v>236</v>
      </c>
      <c r="E51" s="310" t="s">
        <v>249</v>
      </c>
      <c r="F51" s="61"/>
      <c r="G51" s="309" t="s">
        <v>223</v>
      </c>
      <c r="H51" s="311"/>
      <c r="I51" s="2173" t="s">
        <v>256</v>
      </c>
      <c r="J51" s="2174"/>
      <c r="K51" s="311"/>
      <c r="L51" s="309" t="s">
        <v>252</v>
      </c>
      <c r="M51" s="276"/>
      <c r="N51" s="276"/>
    </row>
    <row r="52" spans="2:16">
      <c r="B52" s="75" t="str">
        <f>B10</f>
        <v>Line</v>
      </c>
      <c r="C52" s="65"/>
      <c r="D52" s="57"/>
      <c r="E52" s="61"/>
      <c r="F52" s="61"/>
      <c r="G52" s="312" t="s">
        <v>139</v>
      </c>
      <c r="H52" s="61"/>
      <c r="I52" s="61"/>
      <c r="J52" s="61"/>
      <c r="K52" s="61"/>
      <c r="L52" s="61"/>
      <c r="M52" s="276"/>
      <c r="N52" s="276"/>
    </row>
    <row r="53" spans="2:16" ht="15.75" thickBot="1">
      <c r="B53" s="73" t="str">
        <f>B11</f>
        <v>No.</v>
      </c>
      <c r="C53" s="65"/>
      <c r="D53" s="57" t="s">
        <v>224</v>
      </c>
      <c r="E53" s="313"/>
      <c r="F53" s="313"/>
      <c r="G53" s="61"/>
      <c r="H53" s="61"/>
      <c r="I53" s="287"/>
      <c r="J53" s="61"/>
      <c r="K53" s="61"/>
      <c r="L53" s="61"/>
      <c r="M53" s="276"/>
      <c r="N53" s="276"/>
    </row>
    <row r="54" spans="2:16">
      <c r="B54" s="64">
        <f>+B35+1</f>
        <v>14</v>
      </c>
      <c r="C54" s="65"/>
      <c r="D54" s="314" t="s">
        <v>263</v>
      </c>
      <c r="E54" s="61" t="str">
        <f>"(Worksheet A-1 ln "&amp;'SWT WS A-1 - Plant'!A24&amp;".B)"</f>
        <v>(Worksheet A-1 ln 14.B)</v>
      </c>
      <c r="F54" s="315"/>
      <c r="G54" s="296">
        <f>+'SWT WS A-1 - Plant'!C24</f>
        <v>0</v>
      </c>
      <c r="H54" s="296"/>
      <c r="I54" s="287" t="s">
        <v>264</v>
      </c>
      <c r="J54" s="288">
        <v>0</v>
      </c>
      <c r="K54" s="61"/>
      <c r="L54" s="296">
        <f>+J54*G54</f>
        <v>0</v>
      </c>
      <c r="M54" s="276"/>
      <c r="N54" s="276"/>
    </row>
    <row r="55" spans="2:16">
      <c r="B55" s="64">
        <f t="shared" ref="B55:B63" si="0">+B54+1</f>
        <v>15</v>
      </c>
      <c r="C55" s="65"/>
      <c r="D55" s="314" t="s">
        <v>19</v>
      </c>
      <c r="E55" s="61" t="str">
        <f>"(Worksheet A-1 ln "&amp;'SWT WS A-1 - Plant'!A24&amp;".C)"</f>
        <v>(Worksheet A-1 ln 14.C)</v>
      </c>
      <c r="F55" s="315"/>
      <c r="G55" s="296">
        <f>-'SWT WS A-1 - Plant'!D24</f>
        <v>0</v>
      </c>
      <c r="H55" s="296"/>
      <c r="I55" s="287" t="s">
        <v>264</v>
      </c>
      <c r="J55" s="288">
        <v>0</v>
      </c>
      <c r="K55" s="61"/>
      <c r="L55" s="296">
        <f>+J55*G55</f>
        <v>0</v>
      </c>
      <c r="M55" s="276"/>
      <c r="N55" s="276"/>
    </row>
    <row r="56" spans="2:16">
      <c r="B56" s="64">
        <f t="shared" si="0"/>
        <v>16</v>
      </c>
      <c r="C56" s="316"/>
      <c r="D56" s="317" t="s">
        <v>265</v>
      </c>
      <c r="E56" s="61" t="str">
        <f>"(Worksheet A-1 ln "&amp;'SWT WS A-1 - Plant'!A24&amp;".D &amp; Ln "&amp;B209</f>
        <v>(Worksheet A-1 ln 14.D &amp; Ln 121</v>
      </c>
      <c r="F56" s="318"/>
      <c r="G56" s="296">
        <f>+'SWT WS A-1 - Plant'!E24</f>
        <v>7.6923076923076925E-7</v>
      </c>
      <c r="H56" s="296"/>
      <c r="I56" s="319" t="s">
        <v>266</v>
      </c>
      <c r="J56" s="61"/>
      <c r="K56" s="320"/>
      <c r="L56" s="321">
        <f>+L209</f>
        <v>7.6923076923076925E-7</v>
      </c>
      <c r="M56" s="276"/>
      <c r="N56" s="276"/>
    </row>
    <row r="57" spans="2:16">
      <c r="B57" s="64">
        <f t="shared" si="0"/>
        <v>17</v>
      </c>
      <c r="C57" s="316"/>
      <c r="D57" s="314" t="s">
        <v>20</v>
      </c>
      <c r="E57" s="61" t="str">
        <f>"(Worksheet A-1 ln "&amp;'SWT WS A-1 - Plant'!A24&amp;".E)"</f>
        <v>(Worksheet A-1 ln 14.E)</v>
      </c>
      <c r="F57" s="318"/>
      <c r="G57" s="296">
        <f>-'SWT WS A-1 - Plant'!F24</f>
        <v>0</v>
      </c>
      <c r="H57" s="296"/>
      <c r="I57" s="319" t="s">
        <v>257</v>
      </c>
      <c r="J57" s="288">
        <f>+$L$211</f>
        <v>1</v>
      </c>
      <c r="K57" s="320"/>
      <c r="L57" s="321">
        <f>+G57*J57</f>
        <v>0</v>
      </c>
      <c r="M57" s="276"/>
      <c r="N57" s="276"/>
    </row>
    <row r="58" spans="2:16">
      <c r="B58" s="64">
        <f>+B57+1</f>
        <v>18</v>
      </c>
      <c r="C58" s="316"/>
      <c r="D58" s="57" t="s">
        <v>267</v>
      </c>
      <c r="E58" s="61" t="str">
        <f>"(Worksheet A-1 ln "&amp;'SWT WS A-1 - Plant'!A24&amp;".F)"</f>
        <v>(Worksheet A-1 ln 14.F)</v>
      </c>
      <c r="F58" s="315"/>
      <c r="G58" s="296">
        <f>+'SWT WS A-1 - Plant'!G24</f>
        <v>0</v>
      </c>
      <c r="H58" s="296"/>
      <c r="I58" s="287" t="s">
        <v>264</v>
      </c>
      <c r="J58" s="288">
        <v>0</v>
      </c>
      <c r="K58" s="61"/>
      <c r="L58" s="296">
        <f>+J58*G58</f>
        <v>0</v>
      </c>
      <c r="M58" s="276"/>
      <c r="N58" s="276"/>
    </row>
    <row r="59" spans="2:16">
      <c r="B59" s="64">
        <f t="shared" si="0"/>
        <v>19</v>
      </c>
      <c r="C59" s="316"/>
      <c r="D59" s="314" t="s">
        <v>17</v>
      </c>
      <c r="E59" s="61" t="str">
        <f>"(Worksheet A-1 ln "&amp;'SWT WS A-1 - Plant'!A24&amp;".G)"</f>
        <v>(Worksheet A-1 ln 14.G)</v>
      </c>
      <c r="F59" s="315"/>
      <c r="G59" s="296">
        <f>-'SWT WS A-1 - Plant'!H24</f>
        <v>0</v>
      </c>
      <c r="H59" s="296"/>
      <c r="I59" s="287" t="s">
        <v>264</v>
      </c>
      <c r="J59" s="288">
        <v>0</v>
      </c>
      <c r="K59" s="61"/>
      <c r="L59" s="296">
        <f>+G59*J59</f>
        <v>0</v>
      </c>
      <c r="M59" s="276"/>
      <c r="N59" s="276"/>
    </row>
    <row r="60" spans="2:16">
      <c r="B60" s="64">
        <f t="shared" si="0"/>
        <v>20</v>
      </c>
      <c r="C60" s="316"/>
      <c r="D60" s="57" t="s">
        <v>268</v>
      </c>
      <c r="E60" s="61" t="str">
        <f>"(Worksheet A-1 ln "&amp;'SWT WS A-1 - Plant'!A44&amp;".B)"</f>
        <v>(Worksheet A-1 ln 28.B)</v>
      </c>
      <c r="F60" s="315"/>
      <c r="G60" s="296">
        <f>+'SWT WS A-1 - Plant'!C44</f>
        <v>0</v>
      </c>
      <c r="H60" s="296"/>
      <c r="I60" s="287" t="s">
        <v>269</v>
      </c>
      <c r="J60" s="288">
        <f>+$L$221</f>
        <v>1</v>
      </c>
      <c r="K60" s="61"/>
      <c r="L60" s="296">
        <f>+J60*G60</f>
        <v>0</v>
      </c>
      <c r="M60" s="276"/>
      <c r="N60" s="276"/>
    </row>
    <row r="61" spans="2:16">
      <c r="B61" s="64">
        <f t="shared" si="0"/>
        <v>21</v>
      </c>
      <c r="C61" s="316"/>
      <c r="D61" s="314" t="s">
        <v>18</v>
      </c>
      <c r="E61" s="61" t="str">
        <f>"(Worksheet A-1 ln "&amp;'SWT WS A-1 - Plant'!A44&amp;".C)"</f>
        <v>(Worksheet A-1 ln 28.C)</v>
      </c>
      <c r="F61" s="315"/>
      <c r="G61" s="296">
        <f>-'SWT WS A-1 - Plant'!D44</f>
        <v>0</v>
      </c>
      <c r="H61" s="296"/>
      <c r="I61" s="287" t="s">
        <v>269</v>
      </c>
      <c r="J61" s="288">
        <f>+$L$221</f>
        <v>1</v>
      </c>
      <c r="K61" s="61"/>
      <c r="L61" s="296">
        <f>+G61*J61</f>
        <v>0</v>
      </c>
      <c r="M61" s="276"/>
      <c r="N61" s="276"/>
    </row>
    <row r="62" spans="2:16" ht="15.75" thickBot="1">
      <c r="B62" s="64">
        <f t="shared" si="0"/>
        <v>22</v>
      </c>
      <c r="C62" s="316"/>
      <c r="D62" s="57" t="s">
        <v>270</v>
      </c>
      <c r="E62" s="61" t="str">
        <f>"(Worksheet A-1 ln "&amp;'SWT WS A-1 - Plant'!A44&amp;".D)"</f>
        <v>(Worksheet A-1 ln 28.D)</v>
      </c>
      <c r="F62" s="315"/>
      <c r="G62" s="322">
        <f>+'SWT WS A-1 - Plant'!E44</f>
        <v>0</v>
      </c>
      <c r="H62" s="296"/>
      <c r="I62" s="287" t="s">
        <v>269</v>
      </c>
      <c r="J62" s="288">
        <f>+$L$221</f>
        <v>1</v>
      </c>
      <c r="K62" s="61"/>
      <c r="L62" s="322">
        <f>+J62*G62</f>
        <v>0</v>
      </c>
      <c r="M62" s="276"/>
      <c r="N62" s="276"/>
      <c r="O62" s="57"/>
    </row>
    <row r="63" spans="2:16" ht="15.75">
      <c r="B63" s="307">
        <f t="shared" si="0"/>
        <v>23</v>
      </c>
      <c r="C63" s="316"/>
      <c r="D63" s="57" t="s">
        <v>222</v>
      </c>
      <c r="E63" s="282" t="str">
        <f>"(sum lns "&amp;B54&amp;" to "&amp;B62&amp;")"</f>
        <v>(sum lns 14 to 22)</v>
      </c>
      <c r="F63" s="323"/>
      <c r="G63" s="296">
        <f>SUM(G54:G62)</f>
        <v>7.6923076923076925E-7</v>
      </c>
      <c r="H63" s="296"/>
      <c r="I63" s="305" t="s">
        <v>605</v>
      </c>
      <c r="J63" s="324">
        <f>IF(G63=0,0,L63/G63)</f>
        <v>1</v>
      </c>
      <c r="K63" s="61"/>
      <c r="L63" s="296">
        <f>SUM(L54:L62)</f>
        <v>7.6923076923076925E-7</v>
      </c>
      <c r="M63" s="276"/>
      <c r="N63" s="276"/>
      <c r="O63" s="57"/>
    </row>
    <row r="64" spans="2:16" ht="15.75">
      <c r="B64" s="307"/>
      <c r="C64" s="65"/>
      <c r="D64" s="57"/>
      <c r="E64" s="325"/>
      <c r="F64" s="323"/>
      <c r="G64" s="326"/>
      <c r="H64" s="296"/>
      <c r="I64" s="327" t="s">
        <v>351</v>
      </c>
      <c r="J64" s="1408">
        <f>+G56/(+G56+G58)</f>
        <v>1</v>
      </c>
      <c r="K64" s="61"/>
      <c r="L64" s="296"/>
      <c r="M64" s="276"/>
      <c r="N64" s="276"/>
      <c r="O64" s="57"/>
    </row>
    <row r="65" spans="2:15">
      <c r="B65" s="64">
        <f>+B63+1</f>
        <v>24</v>
      </c>
      <c r="C65" s="65"/>
      <c r="D65" s="57" t="s">
        <v>204</v>
      </c>
      <c r="E65" s="313"/>
      <c r="F65" s="313"/>
      <c r="G65" s="326"/>
      <c r="H65" s="329"/>
      <c r="I65" s="287"/>
      <c r="J65" s="330"/>
      <c r="K65" s="61"/>
      <c r="L65" s="296"/>
      <c r="M65" s="276"/>
      <c r="N65" s="276"/>
      <c r="O65" s="61"/>
    </row>
    <row r="66" spans="2:15">
      <c r="B66" s="64">
        <f t="shared" ref="B66:B75" si="1">+B65+1</f>
        <v>25</v>
      </c>
      <c r="C66" s="65"/>
      <c r="D66" s="314" t="str">
        <f>+D54</f>
        <v xml:space="preserve">  Production</v>
      </c>
      <c r="E66" s="61" t="str">
        <f>"(Worksheet A-2 ln "&amp;'SWT WS A-1 - Plant'!A24&amp;".B)"</f>
        <v>(Worksheet A-2 ln 14.B)</v>
      </c>
      <c r="F66" s="315"/>
      <c r="G66" s="296">
        <f>+'SWT WS A-2 Accumulated Depn'!C24</f>
        <v>0</v>
      </c>
      <c r="H66" s="296"/>
      <c r="I66" s="287" t="s">
        <v>264</v>
      </c>
      <c r="J66" s="288">
        <v>0</v>
      </c>
      <c r="K66" s="61"/>
      <c r="L66" s="296">
        <f>+J66*G66</f>
        <v>0</v>
      </c>
      <c r="M66" s="276"/>
      <c r="N66" s="276"/>
      <c r="O66" s="61"/>
    </row>
    <row r="67" spans="2:15">
      <c r="B67" s="64">
        <f t="shared" si="1"/>
        <v>26</v>
      </c>
      <c r="C67" s="65"/>
      <c r="D67" s="314" t="s">
        <v>19</v>
      </c>
      <c r="E67" s="61" t="str">
        <f>"(Worksheet A-2 ln "&amp;'SWT WS A-1 - Plant'!A24&amp;".C)"</f>
        <v>(Worksheet A-2 ln 14.C)</v>
      </c>
      <c r="F67" s="315"/>
      <c r="G67" s="296">
        <f>-'SWT WS A-2 Accumulated Depn'!D24</f>
        <v>0</v>
      </c>
      <c r="H67" s="296"/>
      <c r="I67" s="287" t="s">
        <v>264</v>
      </c>
      <c r="J67" s="288">
        <v>0</v>
      </c>
      <c r="K67" s="61"/>
      <c r="L67" s="296">
        <f>+J67*G67</f>
        <v>0</v>
      </c>
      <c r="M67" s="276"/>
      <c r="N67" s="276"/>
      <c r="O67" s="61"/>
    </row>
    <row r="68" spans="2:15" ht="15.75">
      <c r="B68" s="64">
        <f t="shared" si="1"/>
        <v>27</v>
      </c>
      <c r="C68" s="316"/>
      <c r="D68" s="317" t="str">
        <f>D56</f>
        <v xml:space="preserve">  Transmission</v>
      </c>
      <c r="E68" s="61" t="str">
        <f>"(Worksheet A-2 ln "&amp;'SWT WS A-2 Accumulated Depn'!A24&amp;".D less "&amp;'SWT WS A-2 Accumulated Depn'!A46&amp;".F)"</f>
        <v>(Worksheet A-2 ln 14.D less 29.F)</v>
      </c>
      <c r="F68" s="331"/>
      <c r="G68" s="296">
        <f>+'SWT WS A-2 Accumulated Depn'!E24</f>
        <v>0</v>
      </c>
      <c r="H68" s="296"/>
      <c r="I68" s="332" t="s">
        <v>206</v>
      </c>
      <c r="J68" s="333">
        <f>IF(G68=0,0,L68/G68)</f>
        <v>0</v>
      </c>
      <c r="K68" s="320"/>
      <c r="L68" s="296">
        <f>+'SWT WS A-2 Accumulated Depn'!G46</f>
        <v>0</v>
      </c>
      <c r="M68" s="276"/>
      <c r="N68" s="276"/>
      <c r="O68" s="61"/>
    </row>
    <row r="69" spans="2:15" ht="15.75">
      <c r="B69" s="64">
        <f t="shared" si="1"/>
        <v>28</v>
      </c>
      <c r="C69" s="316"/>
      <c r="D69" s="314" t="s">
        <v>20</v>
      </c>
      <c r="E69" s="61" t="str">
        <f>"(Worksheet A-2 ln "&amp;'SWT WS A-2 Accumulated Depn'!A24&amp;".E)"</f>
        <v>(Worksheet A-2 ln 14.E)</v>
      </c>
      <c r="F69" s="318"/>
      <c r="G69" s="296">
        <f>-'SWT WS A-2 Accumulated Depn'!F24</f>
        <v>0</v>
      </c>
      <c r="H69" s="296"/>
      <c r="I69" s="332" t="s">
        <v>206</v>
      </c>
      <c r="J69" s="288">
        <f>+J68</f>
        <v>0</v>
      </c>
      <c r="K69" s="320"/>
      <c r="L69" s="296">
        <f>+J69*G69</f>
        <v>0</v>
      </c>
      <c r="M69" s="276"/>
      <c r="N69" s="276"/>
      <c r="O69" s="61"/>
    </row>
    <row r="70" spans="2:15">
      <c r="B70" s="64">
        <f>+B69+1</f>
        <v>29</v>
      </c>
      <c r="C70" s="316"/>
      <c r="D70" s="57" t="str">
        <f>+D58</f>
        <v xml:space="preserve">  Distribution</v>
      </c>
      <c r="E70" s="61" t="str">
        <f>"(Worksheet A-2 ln "&amp;'SWT WS A-2 Accumulated Depn'!A24&amp;".F)"</f>
        <v>(Worksheet A-2 ln 14.F)</v>
      </c>
      <c r="F70" s="315"/>
      <c r="G70" s="296">
        <f>+'SWT WS A-2 Accumulated Depn'!G24</f>
        <v>0</v>
      </c>
      <c r="H70" s="296"/>
      <c r="I70" s="287" t="s">
        <v>264</v>
      </c>
      <c r="J70" s="288">
        <v>0</v>
      </c>
      <c r="K70" s="61"/>
      <c r="L70" s="296">
        <f t="shared" ref="L70:L74" si="2">+J70*G70</f>
        <v>0</v>
      </c>
      <c r="M70" s="276"/>
      <c r="N70" s="276"/>
      <c r="O70" s="61"/>
    </row>
    <row r="71" spans="2:15">
      <c r="B71" s="64">
        <f t="shared" si="1"/>
        <v>30</v>
      </c>
      <c r="C71" s="316"/>
      <c r="D71" s="314" t="s">
        <v>17</v>
      </c>
      <c r="E71" s="61" t="str">
        <f>"(Worksheet A-2 ln "&amp;'SWT WS A-2 Accumulated Depn'!A24&amp;".G)"</f>
        <v>(Worksheet A-2 ln 14.G)</v>
      </c>
      <c r="F71" s="315"/>
      <c r="G71" s="296">
        <f>-'SWT WS A-2 Accumulated Depn'!H24</f>
        <v>0</v>
      </c>
      <c r="H71" s="296"/>
      <c r="I71" s="287" t="s">
        <v>264</v>
      </c>
      <c r="J71" s="288">
        <v>0</v>
      </c>
      <c r="K71" s="61"/>
      <c r="L71" s="296">
        <f t="shared" si="2"/>
        <v>0</v>
      </c>
      <c r="M71" s="276"/>
      <c r="N71" s="276"/>
      <c r="O71" s="61"/>
    </row>
    <row r="72" spans="2:15">
      <c r="B72" s="64">
        <f t="shared" si="1"/>
        <v>31</v>
      </c>
      <c r="C72" s="316"/>
      <c r="D72" s="57" t="str">
        <f>+D60</f>
        <v xml:space="preserve">  General Plant   </v>
      </c>
      <c r="E72" s="61" t="str">
        <f>"(Worksheet A-2 ln "&amp;'SWT WS A-2 Accumulated Depn'!A44&amp;".B)"</f>
        <v>(Worksheet A-2 ln 28.B)</v>
      </c>
      <c r="F72" s="315"/>
      <c r="G72" s="296">
        <f>+'SWT WS A-2 Accumulated Depn'!C44</f>
        <v>0</v>
      </c>
      <c r="H72" s="296"/>
      <c r="I72" s="287" t="s">
        <v>269</v>
      </c>
      <c r="J72" s="288">
        <f>+$L$221</f>
        <v>1</v>
      </c>
      <c r="K72" s="61"/>
      <c r="L72" s="296">
        <f t="shared" si="2"/>
        <v>0</v>
      </c>
      <c r="M72" s="276"/>
      <c r="N72" s="276"/>
      <c r="O72" s="61"/>
    </row>
    <row r="73" spans="2:15">
      <c r="B73" s="64">
        <f t="shared" si="1"/>
        <v>32</v>
      </c>
      <c r="C73" s="316"/>
      <c r="D73" s="314" t="s">
        <v>18</v>
      </c>
      <c r="E73" s="61" t="str">
        <f>"(Worksheet A-2 ln "&amp;'SWT WS A-2 Accumulated Depn'!A44&amp;".C)"</f>
        <v>(Worksheet A-2 ln 28.C)</v>
      </c>
      <c r="F73" s="315"/>
      <c r="G73" s="296">
        <f>-'SWT WS A-2 Accumulated Depn'!D44</f>
        <v>0</v>
      </c>
      <c r="H73" s="296"/>
      <c r="I73" s="287" t="s">
        <v>269</v>
      </c>
      <c r="J73" s="288">
        <f>+$L$221</f>
        <v>1</v>
      </c>
      <c r="K73" s="61"/>
      <c r="L73" s="296">
        <f t="shared" si="2"/>
        <v>0</v>
      </c>
      <c r="M73" s="276"/>
      <c r="N73" s="276"/>
      <c r="O73" s="61"/>
    </row>
    <row r="74" spans="2:15" ht="15.75" thickBot="1">
      <c r="B74" s="64">
        <f t="shared" si="1"/>
        <v>33</v>
      </c>
      <c r="C74" s="316"/>
      <c r="D74" s="57" t="str">
        <f>+D62</f>
        <v xml:space="preserve">  Intangible Plant</v>
      </c>
      <c r="E74" s="61" t="str">
        <f>"(Worksheet A-2 ln "&amp;'SWT WS A-2 Accumulated Depn'!A44&amp;".D)"</f>
        <v>(Worksheet A-2 ln 28.D)</v>
      </c>
      <c r="F74" s="315"/>
      <c r="G74" s="322">
        <f>+'SWT WS A-2 Accumulated Depn'!E44</f>
        <v>0</v>
      </c>
      <c r="H74" s="296"/>
      <c r="I74" s="287" t="s">
        <v>269</v>
      </c>
      <c r="J74" s="288">
        <f>+$L$221</f>
        <v>1</v>
      </c>
      <c r="K74" s="61"/>
      <c r="L74" s="322">
        <f t="shared" si="2"/>
        <v>0</v>
      </c>
      <c r="M74" s="276"/>
      <c r="N74" s="276"/>
      <c r="O74" s="61"/>
    </row>
    <row r="75" spans="2:15">
      <c r="B75" s="64">
        <f t="shared" si="1"/>
        <v>34</v>
      </c>
      <c r="C75" s="316"/>
      <c r="D75" s="57" t="s">
        <v>221</v>
      </c>
      <c r="E75" s="334" t="str">
        <f>"(sum lns "&amp;B66&amp;" to "&amp;B74&amp;")"</f>
        <v>(sum lns 25 to 33)</v>
      </c>
      <c r="F75" s="335"/>
      <c r="G75" s="296">
        <f>SUM(G66:G74)</f>
        <v>0</v>
      </c>
      <c r="H75" s="296"/>
      <c r="I75" s="287"/>
      <c r="J75" s="61"/>
      <c r="K75" s="296"/>
      <c r="L75" s="296">
        <f>SUM(L66:L74)</f>
        <v>0</v>
      </c>
      <c r="M75" s="276"/>
      <c r="N75" s="276"/>
      <c r="O75" s="61"/>
    </row>
    <row r="76" spans="2:15">
      <c r="B76" s="64"/>
      <c r="C76" s="65"/>
      <c r="E76" s="336"/>
      <c r="F76" s="335"/>
      <c r="G76" s="296"/>
      <c r="H76" s="296"/>
      <c r="I76" s="287"/>
      <c r="J76" s="337"/>
      <c r="K76" s="61"/>
      <c r="L76" s="296"/>
      <c r="M76" s="276"/>
      <c r="N76" s="276"/>
      <c r="O76" s="61"/>
    </row>
    <row r="77" spans="2:15">
      <c r="B77" s="64">
        <f>+B75+1</f>
        <v>35</v>
      </c>
      <c r="C77" s="65"/>
      <c r="D77" s="57" t="s">
        <v>225</v>
      </c>
      <c r="E77" s="313"/>
      <c r="F77" s="313"/>
      <c r="G77" s="296"/>
      <c r="H77" s="296"/>
      <c r="I77" s="287"/>
      <c r="J77" s="61"/>
      <c r="K77" s="61"/>
      <c r="L77" s="296"/>
      <c r="M77" s="276"/>
      <c r="N77" s="276"/>
      <c r="O77" s="61"/>
    </row>
    <row r="78" spans="2:15">
      <c r="B78" s="307">
        <f t="shared" ref="B78:B83" si="3">+B77+1</f>
        <v>36</v>
      </c>
      <c r="C78" s="316"/>
      <c r="D78" s="314" t="str">
        <f>+D66</f>
        <v xml:space="preserve">  Production</v>
      </c>
      <c r="E78" s="61" t="str">
        <f>" (ln "&amp;B54&amp;" + ln "&amp;B55&amp;" - ln "&amp;B66&amp;" - ln "&amp;B67&amp;")"</f>
        <v xml:space="preserve"> (ln 14 + ln 15 - ln 25 - ln 26)</v>
      </c>
      <c r="F78" s="61"/>
      <c r="G78" s="296">
        <f>G54+G55-G66-G67</f>
        <v>0</v>
      </c>
      <c r="H78" s="296"/>
      <c r="I78" s="287"/>
      <c r="J78" s="338"/>
      <c r="K78" s="61"/>
      <c r="L78" s="296">
        <f>L54+L55-L66-L67</f>
        <v>0</v>
      </c>
      <c r="M78" s="276"/>
      <c r="N78" s="276"/>
      <c r="O78" s="61"/>
    </row>
    <row r="79" spans="2:15">
      <c r="B79" s="307">
        <f t="shared" si="3"/>
        <v>37</v>
      </c>
      <c r="C79" s="316"/>
      <c r="D79" s="314" t="str">
        <f>+D68</f>
        <v xml:space="preserve">  Transmission</v>
      </c>
      <c r="E79" s="61" t="str">
        <f>" (ln "&amp;B56&amp;" + ln "&amp;B57&amp;" - ln "&amp;B68&amp;" - ln "&amp;B69&amp;")"</f>
        <v xml:space="preserve"> (ln 16 + ln 17 - ln 27 - ln 28)</v>
      </c>
      <c r="F79" s="315"/>
      <c r="G79" s="296">
        <f>+G56+G57-G68-G69</f>
        <v>7.6923076923076925E-7</v>
      </c>
      <c r="H79" s="296"/>
      <c r="I79" s="287"/>
      <c r="J79" s="333"/>
      <c r="K79" s="61"/>
      <c r="L79" s="296">
        <f>+L56+L57-L68-L69</f>
        <v>7.6923076923076925E-7</v>
      </c>
      <c r="M79" s="276"/>
      <c r="N79" s="276"/>
      <c r="O79" s="61"/>
    </row>
    <row r="80" spans="2:15">
      <c r="B80" s="307">
        <f>+B79+1</f>
        <v>38</v>
      </c>
      <c r="C80" s="316"/>
      <c r="D80" s="314" t="str">
        <f>+D70</f>
        <v xml:space="preserve">  Distribution</v>
      </c>
      <c r="E80" s="61" t="str">
        <f>" (ln "&amp;B58&amp;" + ln "&amp;B59&amp;" - ln "&amp;B70&amp;" - ln "&amp;B71&amp;")"</f>
        <v xml:space="preserve"> (ln 18 + ln 19 - ln 29 - ln 30)</v>
      </c>
      <c r="F80" s="61"/>
      <c r="G80" s="296">
        <f>+G58+G59-G70-G71</f>
        <v>0</v>
      </c>
      <c r="H80" s="296"/>
      <c r="I80" s="287"/>
      <c r="J80" s="337"/>
      <c r="K80" s="61"/>
      <c r="L80" s="296">
        <f>+L58+L59-L70-L71</f>
        <v>0</v>
      </c>
      <c r="M80" s="276"/>
      <c r="N80" s="276"/>
      <c r="O80" s="61"/>
    </row>
    <row r="81" spans="2:15">
      <c r="B81" s="307">
        <f t="shared" si="3"/>
        <v>39</v>
      </c>
      <c r="C81" s="316"/>
      <c r="D81" s="314" t="str">
        <f>+D72</f>
        <v xml:space="preserve">  General Plant   </v>
      </c>
      <c r="E81" s="61" t="str">
        <f>" (ln "&amp;B60&amp;" + ln "&amp;B61&amp;" - ln "&amp;B72&amp;" - ln "&amp;B73&amp;")"</f>
        <v xml:space="preserve"> (ln 20 + ln 21 - ln 31 - ln 32)</v>
      </c>
      <c r="F81" s="61"/>
      <c r="G81" s="296">
        <f>+G60+G61-G72-G73</f>
        <v>0</v>
      </c>
      <c r="H81" s="296"/>
      <c r="I81" s="287"/>
      <c r="J81" s="337"/>
      <c r="K81" s="61"/>
      <c r="L81" s="296">
        <f>+L60+L61-L72-L73</f>
        <v>0</v>
      </c>
      <c r="M81" s="276"/>
      <c r="N81" s="276"/>
      <c r="O81" s="61"/>
    </row>
    <row r="82" spans="2:15" ht="15.75" thickBot="1">
      <c r="B82" s="307">
        <f t="shared" si="3"/>
        <v>40</v>
      </c>
      <c r="C82" s="316"/>
      <c r="D82" s="314" t="str">
        <f>+D74</f>
        <v xml:space="preserve">  Intangible Plant</v>
      </c>
      <c r="E82" s="61" t="str">
        <f>" (ln "&amp;B62&amp;" - ln "&amp;B74&amp;")"</f>
        <v xml:space="preserve"> (ln 22 - ln 33)</v>
      </c>
      <c r="F82" s="61"/>
      <c r="G82" s="322">
        <f>+G62-G74</f>
        <v>0</v>
      </c>
      <c r="H82" s="296"/>
      <c r="I82" s="287"/>
      <c r="J82" s="337"/>
      <c r="K82" s="61"/>
      <c r="L82" s="322">
        <f>+L62-L74</f>
        <v>0</v>
      </c>
      <c r="M82" s="276"/>
      <c r="N82" s="276"/>
      <c r="O82" s="61"/>
    </row>
    <row r="83" spans="2:15" ht="15.75">
      <c r="B83" s="307">
        <f t="shared" si="3"/>
        <v>41</v>
      </c>
      <c r="C83" s="316"/>
      <c r="D83" s="314" t="s">
        <v>220</v>
      </c>
      <c r="E83" s="314" t="str">
        <f>"(sum lns "&amp;B78&amp;" to "&amp;B82&amp;")"</f>
        <v>(sum lns 36 to 40)</v>
      </c>
      <c r="F83" s="61"/>
      <c r="G83" s="296">
        <f>SUM(G78:G82)</f>
        <v>7.6923076923076925E-7</v>
      </c>
      <c r="H83" s="296"/>
      <c r="I83" s="308" t="s">
        <v>606</v>
      </c>
      <c r="J83" s="324">
        <f>IF(G83=0,0,L83/G83)</f>
        <v>1</v>
      </c>
      <c r="K83" s="61"/>
      <c r="L83" s="296">
        <f>SUM(L79:L82)</f>
        <v>7.6923076923076925E-7</v>
      </c>
      <c r="M83" s="276"/>
      <c r="N83" s="276"/>
      <c r="O83" s="61"/>
    </row>
    <row r="84" spans="2:15">
      <c r="B84" s="64"/>
      <c r="C84" s="65"/>
      <c r="D84" s="57"/>
      <c r="E84" s="61"/>
      <c r="F84" s="61"/>
      <c r="G84" s="296"/>
      <c r="H84" s="296"/>
      <c r="J84" s="339"/>
      <c r="K84" s="61"/>
      <c r="L84" s="296"/>
      <c r="M84" s="276"/>
      <c r="N84" s="276"/>
      <c r="O84" s="61"/>
    </row>
    <row r="85" spans="2:15">
      <c r="B85" s="64"/>
      <c r="C85" s="65"/>
      <c r="G85" s="276"/>
      <c r="H85" s="276"/>
      <c r="I85" s="276"/>
      <c r="J85" s="276"/>
      <c r="K85" s="276"/>
      <c r="L85" s="276"/>
      <c r="M85" s="276"/>
      <c r="N85" s="276"/>
      <c r="O85" s="61"/>
    </row>
    <row r="86" spans="2:15">
      <c r="B86" s="64">
        <f>+B83+1</f>
        <v>42</v>
      </c>
      <c r="C86" s="65"/>
      <c r="D86" s="57" t="s">
        <v>395</v>
      </c>
      <c r="E86" s="61" t="s">
        <v>173</v>
      </c>
      <c r="F86" s="287"/>
      <c r="G86" s="276"/>
      <c r="H86" s="276"/>
      <c r="I86" s="276"/>
      <c r="J86" s="276"/>
      <c r="K86" s="276"/>
      <c r="L86" s="276"/>
      <c r="M86" s="276"/>
      <c r="N86" s="276"/>
      <c r="O86" s="61"/>
    </row>
    <row r="87" spans="2:15">
      <c r="B87" s="307">
        <f t="shared" ref="B87:B92" si="4">+B86+1</f>
        <v>43</v>
      </c>
      <c r="C87" s="316"/>
      <c r="D87" s="314" t="s">
        <v>327</v>
      </c>
      <c r="E87" s="61" t="s">
        <v>35</v>
      </c>
      <c r="F87" s="61"/>
      <c r="G87" s="296">
        <v>0</v>
      </c>
      <c r="H87"/>
      <c r="I87" s="287" t="s">
        <v>264</v>
      </c>
      <c r="J87" s="288"/>
      <c r="K87" s="61"/>
      <c r="L87" s="296">
        <v>0</v>
      </c>
      <c r="M87" s="276"/>
      <c r="N87" s="276"/>
      <c r="O87" s="61"/>
    </row>
    <row r="88" spans="2:15">
      <c r="B88" s="307">
        <f t="shared" si="4"/>
        <v>44</v>
      </c>
      <c r="C88" s="316"/>
      <c r="D88" s="314" t="s">
        <v>328</v>
      </c>
      <c r="E88" s="61" t="str">
        <f>"(Worksheet C, ln "&amp;'SWT WS C ADIT &amp; ADITC'!A23&amp;" C &amp; ln "&amp;'SWT WS C ADIT &amp; ADITC'!A27&amp;" J)"</f>
        <v>(Worksheet C, ln 4 C &amp; ln 8 J)</v>
      </c>
      <c r="F88" s="315"/>
      <c r="G88" s="296">
        <f>'SWT WS C ADIT &amp; ADITC'!D23</f>
        <v>64.999999999999972</v>
      </c>
      <c r="H88" s="296"/>
      <c r="I88" s="287" t="s">
        <v>266</v>
      </c>
      <c r="J88" s="288"/>
      <c r="K88" s="61"/>
      <c r="L88" s="296">
        <f>'SWT WS C ADIT &amp; ADITC'!J27</f>
        <v>31.297999999999973</v>
      </c>
      <c r="M88" s="276"/>
      <c r="N88" s="276"/>
      <c r="O88" s="61"/>
    </row>
    <row r="89" spans="2:15">
      <c r="B89" s="307">
        <f t="shared" si="4"/>
        <v>45</v>
      </c>
      <c r="C89" s="316"/>
      <c r="D89" s="314" t="s">
        <v>329</v>
      </c>
      <c r="E89" s="61" t="str">
        <f>"(Worksheet C, ln "&amp;'SWT WS C ADIT &amp; ADITC'!A36&amp;" C &amp; ln "&amp;'SWT WS C ADIT &amp; ADITC'!A38&amp;" J)"</f>
        <v>(Worksheet C, ln 12 C &amp; ln 14 J)</v>
      </c>
      <c r="F89" s="315"/>
      <c r="G89" s="296">
        <f>'SWT WS C ADIT &amp; ADITC'!D36</f>
        <v>-9908.955000000009</v>
      </c>
      <c r="H89" s="296"/>
      <c r="I89" s="287" t="s">
        <v>266</v>
      </c>
      <c r="J89" s="288"/>
      <c r="K89" s="61"/>
      <c r="L89" s="296">
        <f>'SWT WS C ADIT &amp; ADITC'!J38</f>
        <v>229568.886</v>
      </c>
      <c r="M89" s="276"/>
      <c r="N89" s="276"/>
      <c r="O89" s="61"/>
    </row>
    <row r="90" spans="2:15">
      <c r="B90" s="307">
        <f t="shared" si="4"/>
        <v>46</v>
      </c>
      <c r="C90" s="316"/>
      <c r="D90" s="314" t="s">
        <v>330</v>
      </c>
      <c r="E90" s="61" t="str">
        <f>"(Worksheet C, ln "&amp;'SWT WS C ADIT &amp; ADITC'!A48&amp;" C &amp; ln "&amp;'SWT WS C ADIT &amp; ADITC'!A52&amp;" J)"</f>
        <v>(Worksheet C, ln 18 C &amp; ln 22 J)</v>
      </c>
      <c r="F90" s="315"/>
      <c r="G90" s="296">
        <f>+'SWT WS C ADIT &amp; ADITC'!D48</f>
        <v>28447.874999999993</v>
      </c>
      <c r="H90" s="296"/>
      <c r="I90" s="287" t="s">
        <v>266</v>
      </c>
      <c r="J90" s="288"/>
      <c r="K90" s="61"/>
      <c r="L90" s="296">
        <f>+'SWT WS C ADIT &amp; ADITC'!J52</f>
        <v>438371.23104999994</v>
      </c>
      <c r="M90" s="276"/>
      <c r="N90" s="276"/>
      <c r="O90" s="61"/>
    </row>
    <row r="91" spans="2:15" ht="15.75" thickBot="1">
      <c r="B91" s="307">
        <f t="shared" si="4"/>
        <v>47</v>
      </c>
      <c r="C91" s="316"/>
      <c r="D91" s="82" t="s">
        <v>271</v>
      </c>
      <c r="E91" s="61" t="str">
        <f>"(Worksheet C, ln "&amp;'SWT WS C ADIT &amp; ADITC'!A62&amp;" C &amp; ln "&amp;'SWT WS C ADIT &amp; ADITC'!A64&amp;" J)"</f>
        <v>(Worksheet C, ln 26 C &amp; ln 28 J)</v>
      </c>
      <c r="F91" s="128"/>
      <c r="G91" s="322">
        <f>'SWT WS C ADIT &amp; ADITC'!D62</f>
        <v>0</v>
      </c>
      <c r="H91" s="296"/>
      <c r="I91" s="287" t="s">
        <v>266</v>
      </c>
      <c r="J91" s="288"/>
      <c r="K91" s="61"/>
      <c r="L91" s="322">
        <f>'SWT WS C ADIT &amp; ADITC'!J64</f>
        <v>0</v>
      </c>
      <c r="M91" s="276"/>
      <c r="N91" s="276"/>
      <c r="O91" s="61"/>
    </row>
    <row r="92" spans="2:15">
      <c r="B92" s="307">
        <f t="shared" si="4"/>
        <v>48</v>
      </c>
      <c r="C92" s="316"/>
      <c r="D92" s="314" t="s">
        <v>234</v>
      </c>
      <c r="E92" s="314" t="str">
        <f>"(sum lns "&amp;B87&amp;" to "&amp;B91&amp;")"</f>
        <v>(sum lns 43 to 47)</v>
      </c>
      <c r="F92" s="61"/>
      <c r="G92" s="296">
        <f>SUM(G87:G91)</f>
        <v>18603.919999999984</v>
      </c>
      <c r="H92" s="276"/>
      <c r="I92" s="287"/>
      <c r="J92" s="301"/>
      <c r="K92" s="61"/>
      <c r="L92" s="296">
        <f>SUM(L87:L91)</f>
        <v>667971.41504999995</v>
      </c>
      <c r="M92" s="276"/>
      <c r="N92" s="276"/>
    </row>
    <row r="93" spans="2:15">
      <c r="B93" s="64"/>
      <c r="C93" s="65"/>
      <c r="D93" s="314"/>
      <c r="E93" s="61"/>
      <c r="F93" s="61"/>
      <c r="G93" s="296"/>
      <c r="H93" s="276"/>
      <c r="I93" s="287"/>
      <c r="J93" s="337"/>
      <c r="K93" s="61"/>
      <c r="L93" s="296"/>
      <c r="M93" s="276"/>
      <c r="N93" s="276"/>
    </row>
    <row r="94" spans="2:15">
      <c r="B94" s="64">
        <f>+B92+1</f>
        <v>49</v>
      </c>
      <c r="C94" s="65"/>
      <c r="D94" s="314" t="s">
        <v>340</v>
      </c>
      <c r="E94" s="61" t="str">
        <f>"(Worksheet A-1 ln "&amp;'SWT WS A-1 - Plant'!A53&amp;".F)"</f>
        <v>(Worksheet A-1 ln 30.F)</v>
      </c>
      <c r="F94" s="61"/>
      <c r="G94" s="296">
        <f>+'SWT WS A-1 - Plant'!I53</f>
        <v>0</v>
      </c>
      <c r="H94" s="276"/>
      <c r="I94" s="287" t="s">
        <v>266</v>
      </c>
      <c r="J94" s="288"/>
      <c r="K94" s="61"/>
      <c r="L94" s="296">
        <f>+G94</f>
        <v>0</v>
      </c>
      <c r="M94" s="276"/>
      <c r="N94" s="276"/>
    </row>
    <row r="95" spans="2:15">
      <c r="B95" s="64"/>
      <c r="C95" s="65"/>
      <c r="D95" s="314"/>
      <c r="E95" s="61"/>
      <c r="F95" s="61"/>
      <c r="G95" s="296"/>
      <c r="H95" s="276"/>
      <c r="I95" s="287"/>
      <c r="J95" s="288"/>
      <c r="K95" s="61"/>
      <c r="L95" s="296"/>
      <c r="M95" s="276"/>
      <c r="N95" s="276"/>
    </row>
    <row r="96" spans="2:15">
      <c r="B96" s="64">
        <f>+B94+1</f>
        <v>50</v>
      </c>
      <c r="C96" s="65"/>
      <c r="D96" s="314" t="s">
        <v>608</v>
      </c>
      <c r="E96" s="61" t="str">
        <f>"(Worksheet S ln "&amp;'SWT WS S Reg Assets'!B45&amp;" cols. G and J) (Note W)"</f>
        <v>(Worksheet S ln 10 cols. G and J) (Note W)</v>
      </c>
      <c r="F96" s="61"/>
      <c r="G96" s="296">
        <f>+'SWT WS S Reg Assets'!K45</f>
        <v>0</v>
      </c>
      <c r="H96" s="276"/>
      <c r="I96" s="287" t="s">
        <v>266</v>
      </c>
      <c r="J96" s="288"/>
      <c r="K96" s="61"/>
      <c r="L96" s="296">
        <f>+'SWT WS S Reg Assets'!N45</f>
        <v>0</v>
      </c>
      <c r="M96" s="276"/>
      <c r="N96" s="276"/>
    </row>
    <row r="97" spans="2:14">
      <c r="B97" s="64"/>
      <c r="C97" s="65"/>
      <c r="D97" s="314"/>
      <c r="E97" s="61"/>
      <c r="F97" s="61"/>
      <c r="G97" s="296"/>
      <c r="H97" s="276"/>
      <c r="I97" s="287"/>
      <c r="J97" s="288"/>
      <c r="K97" s="61"/>
      <c r="L97" s="296"/>
      <c r="M97" s="276"/>
      <c r="N97" s="276"/>
    </row>
    <row r="98" spans="2:14">
      <c r="B98" s="307">
        <f>+B96+1</f>
        <v>51</v>
      </c>
      <c r="C98" s="316"/>
      <c r="D98" s="314" t="s">
        <v>824</v>
      </c>
      <c r="E98" s="61" t="str">
        <f>"(Worksheet R, ln "&amp;'SWT WS R Unfunded Reserves'!A16&amp;" F)"</f>
        <v>(Worksheet R, ln 6 F)</v>
      </c>
      <c r="F98" s="315"/>
      <c r="G98" s="296">
        <f>-'SWT WS R Unfunded Reserves'!H16</f>
        <v>0</v>
      </c>
      <c r="H98" s="276"/>
      <c r="I98" s="287" t="s">
        <v>269</v>
      </c>
      <c r="J98" s="288">
        <f>+$L$221</f>
        <v>1</v>
      </c>
      <c r="K98" s="61"/>
      <c r="L98" s="296">
        <f>+J98*G98</f>
        <v>0</v>
      </c>
      <c r="M98" s="276"/>
      <c r="N98" s="276"/>
    </row>
    <row r="99" spans="2:14">
      <c r="B99" s="64"/>
      <c r="C99" s="65"/>
      <c r="D99" s="314"/>
      <c r="E99" s="61"/>
      <c r="F99" s="61"/>
      <c r="G99" s="296"/>
      <c r="H99" s="276"/>
      <c r="I99" s="287"/>
      <c r="J99" s="288"/>
      <c r="K99" s="61"/>
      <c r="L99" s="296"/>
      <c r="M99" s="276"/>
      <c r="N99" s="276"/>
    </row>
    <row r="100" spans="2:14">
      <c r="B100" s="64">
        <f>+B98+1</f>
        <v>52</v>
      </c>
      <c r="C100" s="65"/>
      <c r="D100" s="314" t="s">
        <v>235</v>
      </c>
      <c r="E100" s="61" t="s">
        <v>140</v>
      </c>
      <c r="F100" s="61"/>
      <c r="G100" s="296"/>
      <c r="H100" s="276"/>
      <c r="I100" s="287"/>
      <c r="J100" s="61"/>
      <c r="K100" s="61"/>
      <c r="L100" s="296"/>
      <c r="M100" s="276"/>
      <c r="N100" s="276"/>
    </row>
    <row r="101" spans="2:14">
      <c r="B101" s="307">
        <f t="shared" ref="B101:B109" si="5">+B100+1</f>
        <v>53</v>
      </c>
      <c r="C101" s="316"/>
      <c r="D101" s="314" t="s">
        <v>339</v>
      </c>
      <c r="E101" s="53" t="str">
        <f>"(1/8 * (ln "&amp;B134&amp;" - Ln "&amp;B133&amp;")) (Note G)"</f>
        <v>(1/8 * (ln 70 - Ln 69)) (Note G)</v>
      </c>
      <c r="G101" s="296">
        <f>(+G134-G133)/8</f>
        <v>374.00625000000002</v>
      </c>
      <c r="H101" s="61"/>
      <c r="I101" s="287"/>
      <c r="J101" s="337"/>
      <c r="K101" s="61"/>
      <c r="L101" s="296">
        <f>+L134/8</f>
        <v>374.00625000000002</v>
      </c>
      <c r="M101" s="276"/>
      <c r="N101" s="276"/>
    </row>
    <row r="102" spans="2:14">
      <c r="B102" s="307">
        <f t="shared" si="5"/>
        <v>54</v>
      </c>
      <c r="C102" s="316"/>
      <c r="D102" s="314" t="s">
        <v>400</v>
      </c>
      <c r="E102" s="61" t="str">
        <f>"(Worksheet D, pg 1 ln "&amp;'SWT WS D Working Capital'!A16&amp;" E)"</f>
        <v>(Worksheet D, pg 1 ln 1 E)</v>
      </c>
      <c r="F102" s="315"/>
      <c r="G102" s="296">
        <f>+'SWT WS D Working Capital'!G16</f>
        <v>0</v>
      </c>
      <c r="H102" s="276"/>
      <c r="I102" s="287" t="s">
        <v>257</v>
      </c>
      <c r="J102" s="288">
        <f>+$L$211</f>
        <v>1</v>
      </c>
      <c r="K102" s="61"/>
      <c r="L102" s="296">
        <f>+J102*G102</f>
        <v>0</v>
      </c>
      <c r="M102" s="276"/>
      <c r="N102" s="276"/>
    </row>
    <row r="103" spans="2:14">
      <c r="B103" s="307">
        <f t="shared" si="5"/>
        <v>55</v>
      </c>
      <c r="C103" s="316"/>
      <c r="D103" s="314" t="s">
        <v>401</v>
      </c>
      <c r="E103" s="61" t="str">
        <f>"(Worksheet D, pg 1 ln "&amp;'SWT WS D Working Capital'!A17&amp;" E)"</f>
        <v>(Worksheet D, pg 1 ln 2 E)</v>
      </c>
      <c r="F103" s="315"/>
      <c r="G103" s="296">
        <f>+'SWT WS D Working Capital'!G17</f>
        <v>0</v>
      </c>
      <c r="H103" s="276"/>
      <c r="I103" s="287" t="s">
        <v>269</v>
      </c>
      <c r="J103" s="288">
        <f>+$L$221</f>
        <v>1</v>
      </c>
      <c r="K103" s="61"/>
      <c r="L103" s="296">
        <f>+J103*G103</f>
        <v>0</v>
      </c>
      <c r="M103" s="276"/>
      <c r="N103" s="276"/>
    </row>
    <row r="104" spans="2:14">
      <c r="B104" s="307">
        <f t="shared" si="5"/>
        <v>56</v>
      </c>
      <c r="C104" s="316"/>
      <c r="D104" s="314" t="s">
        <v>194</v>
      </c>
      <c r="E104" s="61" t="str">
        <f>"(Worksheet D, pg 1 ln "&amp;'SWT WS D Working Capital'!A18&amp;" E)"</f>
        <v>(Worksheet D, pg 1 ln 3 E)</v>
      </c>
      <c r="F104" s="315"/>
      <c r="G104" s="296">
        <f>+'SWT WS D Working Capital'!G18</f>
        <v>0</v>
      </c>
      <c r="H104" s="276"/>
      <c r="I104" s="305" t="s">
        <v>604</v>
      </c>
      <c r="J104" s="288">
        <f>+$J$63</f>
        <v>1</v>
      </c>
      <c r="K104" s="61"/>
      <c r="L104" s="296">
        <f>+J104*G104</f>
        <v>0</v>
      </c>
      <c r="M104" s="276"/>
      <c r="N104" s="276"/>
    </row>
    <row r="105" spans="2:14">
      <c r="B105" s="307">
        <f t="shared" si="5"/>
        <v>57</v>
      </c>
      <c r="C105" s="316"/>
      <c r="D105" s="314" t="s">
        <v>344</v>
      </c>
      <c r="E105" s="61" t="str">
        <f>"(Worksheet D, pg 1 ln "&amp;'SWT WS D Working Capital'!A51&amp;" G)"</f>
        <v>(Worksheet D, pg 1 ln 29 G)</v>
      </c>
      <c r="F105" s="315"/>
      <c r="G105" s="296">
        <f>+'SWT WS D Working Capital'!J51</f>
        <v>0</v>
      </c>
      <c r="H105" s="276"/>
      <c r="I105" s="287" t="s">
        <v>269</v>
      </c>
      <c r="J105" s="288">
        <f>+$L$221</f>
        <v>1</v>
      </c>
      <c r="K105" s="61"/>
      <c r="L105" s="296">
        <f>+J105*G105</f>
        <v>0</v>
      </c>
      <c r="M105" s="276"/>
      <c r="N105" s="276"/>
    </row>
    <row r="106" spans="2:14">
      <c r="B106" s="307">
        <f t="shared" si="5"/>
        <v>58</v>
      </c>
      <c r="C106" s="316"/>
      <c r="D106" s="314" t="s">
        <v>345</v>
      </c>
      <c r="E106" s="61" t="str">
        <f>"(Worksheet D, pg 1 ln "&amp;'SWT WS D Working Capital'!A51&amp;" F)"</f>
        <v>(Worksheet D, pg 1 ln 29 F)</v>
      </c>
      <c r="F106" s="315"/>
      <c r="G106" s="296">
        <f>+'SWT WS D Working Capital'!I51</f>
        <v>0</v>
      </c>
      <c r="H106" s="276"/>
      <c r="I106" s="305" t="s">
        <v>604</v>
      </c>
      <c r="J106" s="288">
        <f>+$J$63</f>
        <v>1</v>
      </c>
      <c r="K106" s="61"/>
      <c r="L106" s="296">
        <f>+G106*J106</f>
        <v>0</v>
      </c>
      <c r="M106" s="276"/>
      <c r="N106" s="276"/>
    </row>
    <row r="107" spans="2:14">
      <c r="B107" s="307">
        <f t="shared" si="5"/>
        <v>59</v>
      </c>
      <c r="C107" s="316"/>
      <c r="D107" s="314" t="s">
        <v>386</v>
      </c>
      <c r="E107" s="61" t="str">
        <f>"(Worksheet D, pg 1 ln "&amp;'SWT WS D Working Capital'!A51&amp;" E)"</f>
        <v>(Worksheet D, pg 1 ln 29 E)</v>
      </c>
      <c r="F107" s="315"/>
      <c r="G107" s="296">
        <f>+'SWT WS D Working Capital'!G51</f>
        <v>0</v>
      </c>
      <c r="H107" s="276"/>
      <c r="I107" s="287" t="s">
        <v>266</v>
      </c>
      <c r="J107" s="288">
        <v>1</v>
      </c>
      <c r="K107" s="61"/>
      <c r="L107" s="296">
        <f>+G107</f>
        <v>0</v>
      </c>
      <c r="M107" s="276"/>
      <c r="N107" s="276"/>
    </row>
    <row r="108" spans="2:14" ht="15.75" thickBot="1">
      <c r="B108" s="307">
        <f t="shared" si="5"/>
        <v>60</v>
      </c>
      <c r="C108" s="316"/>
      <c r="D108" s="314" t="s">
        <v>242</v>
      </c>
      <c r="E108" s="61" t="str">
        <f>"(Worksheet D, pg 1 ln "&amp;'SWT WS D Working Capital'!A51&amp;" D)"</f>
        <v>(Worksheet D, pg 1 ln 29 D)</v>
      </c>
      <c r="F108" s="315"/>
      <c r="G108" s="322">
        <f>+'SWT WS D Working Capital'!E51</f>
        <v>0</v>
      </c>
      <c r="H108" s="296"/>
      <c r="I108" s="287" t="s">
        <v>264</v>
      </c>
      <c r="J108" s="288">
        <v>0</v>
      </c>
      <c r="K108" s="61"/>
      <c r="L108" s="322">
        <f>+G108*J108</f>
        <v>0</v>
      </c>
      <c r="M108" s="276"/>
      <c r="N108" s="276"/>
    </row>
    <row r="109" spans="2:14">
      <c r="B109" s="307">
        <f t="shared" si="5"/>
        <v>61</v>
      </c>
      <c r="C109" s="316"/>
      <c r="D109" s="314" t="s">
        <v>219</v>
      </c>
      <c r="E109" s="314" t="str">
        <f>"(sum lns "&amp;B101&amp;" to "&amp;B108&amp;")"</f>
        <v>(sum lns 53 to 60)</v>
      </c>
      <c r="F109" s="60"/>
      <c r="G109" s="296">
        <f>SUM(G101:G108)</f>
        <v>374.00625000000002</v>
      </c>
      <c r="H109" s="60"/>
      <c r="I109" s="65"/>
      <c r="J109" s="60"/>
      <c r="K109" s="60"/>
      <c r="L109" s="296">
        <f>SUM(L101:L108)</f>
        <v>374.00625000000002</v>
      </c>
      <c r="M109" s="276"/>
      <c r="N109" s="276"/>
    </row>
    <row r="110" spans="2:14">
      <c r="B110" s="64"/>
      <c r="C110" s="65"/>
      <c r="D110" s="314"/>
      <c r="E110" s="60"/>
      <c r="F110" s="60"/>
      <c r="G110" s="296"/>
      <c r="H110" s="60"/>
      <c r="I110" s="65"/>
      <c r="J110" s="60"/>
      <c r="K110" s="60"/>
      <c r="L110" s="296"/>
      <c r="M110" s="276"/>
      <c r="N110" s="276"/>
    </row>
    <row r="111" spans="2:14">
      <c r="B111" s="64">
        <f>+B109+1</f>
        <v>62</v>
      </c>
      <c r="C111" s="65"/>
      <c r="D111" s="314" t="s">
        <v>208</v>
      </c>
      <c r="E111" s="57" t="str">
        <f>"(Note H) (Worksheet E, ln "&amp;'SWT WS E IPP Credits'!A22&amp;" B)"</f>
        <v>(Note H) (Worksheet E, ln 8 B)</v>
      </c>
      <c r="F111" s="60"/>
      <c r="G111" s="296">
        <f>IF(G63=0,0,-'SWT WS E IPP Credits'!C22)</f>
        <v>0</v>
      </c>
      <c r="H111" s="60"/>
      <c r="I111" s="340" t="s">
        <v>266</v>
      </c>
      <c r="J111" s="288">
        <v>1</v>
      </c>
      <c r="K111" s="61"/>
      <c r="L111" s="296">
        <f>+J111*G111</f>
        <v>0</v>
      </c>
      <c r="M111" s="276"/>
      <c r="N111" s="276"/>
    </row>
    <row r="112" spans="2:14" ht="15.75" thickBot="1">
      <c r="D112" s="82"/>
      <c r="E112" s="61"/>
      <c r="F112" s="61"/>
      <c r="G112" s="322"/>
      <c r="H112" s="61"/>
      <c r="I112" s="287"/>
      <c r="J112" s="61"/>
      <c r="K112" s="61"/>
      <c r="L112" s="322"/>
      <c r="M112" s="276"/>
      <c r="N112" s="276"/>
    </row>
    <row r="113" spans="2:15" ht="15.75" thickBot="1">
      <c r="B113" s="64">
        <f>+B111+1</f>
        <v>63</v>
      </c>
      <c r="C113" s="65"/>
      <c r="D113" s="57" t="str">
        <f>"RATE BASE  (sum lns "&amp;B83&amp;", "&amp;B92&amp;", "&amp;B94&amp;", "&amp;B96&amp;", "&amp;B98&amp;", "&amp;B109&amp;", "&amp;B111&amp;")"</f>
        <v>RATE BASE  (sum lns 41, 48, 49, 50, 51, 61, 62)</v>
      </c>
      <c r="E113" s="61"/>
      <c r="F113" s="61"/>
      <c r="G113" s="341">
        <f>+G83+G92+G94+G96+G98+G109+G111</f>
        <v>18977.926250769215</v>
      </c>
      <c r="H113" s="61"/>
      <c r="I113" s="61"/>
      <c r="J113" s="337"/>
      <c r="K113" s="61"/>
      <c r="L113" s="341">
        <f>+L83+L92+L94+L96+L98+L109+L111</f>
        <v>668345.4213007692</v>
      </c>
      <c r="M113" s="276"/>
      <c r="N113" s="276"/>
    </row>
    <row r="114" spans="2:15" ht="16.5" thickTop="1">
      <c r="B114" s="64"/>
      <c r="C114" s="276"/>
      <c r="D114" s="276"/>
      <c r="E114" s="276"/>
      <c r="F114" s="276"/>
      <c r="G114" s="276"/>
      <c r="H114" s="276"/>
      <c r="I114" s="273"/>
      <c r="J114" s="273"/>
      <c r="K114" s="273"/>
      <c r="M114" s="276"/>
      <c r="N114" s="276"/>
    </row>
    <row r="115" spans="2:15">
      <c r="B115" s="64"/>
      <c r="C115" s="65"/>
      <c r="D115" s="57"/>
      <c r="E115" s="61"/>
      <c r="F115" s="61"/>
      <c r="G115" s="61"/>
      <c r="H115" s="61"/>
      <c r="I115" s="61"/>
      <c r="J115" s="61"/>
      <c r="K115" s="61"/>
      <c r="L115" s="61"/>
      <c r="M115" s="276"/>
      <c r="N115" s="276"/>
    </row>
    <row r="116" spans="2:15">
      <c r="B116" s="64"/>
      <c r="C116" s="65"/>
      <c r="D116" s="57"/>
      <c r="E116" s="61"/>
      <c r="F116" s="287" t="str">
        <f>F42</f>
        <v xml:space="preserve">AEP West SPP Member Transmission Companies </v>
      </c>
      <c r="G116" s="287"/>
      <c r="H116" s="61"/>
      <c r="I116" s="61"/>
      <c r="J116" s="61"/>
      <c r="K116" s="61"/>
      <c r="L116" s="61"/>
      <c r="M116" s="276"/>
      <c r="N116" s="276"/>
    </row>
    <row r="117" spans="2:15">
      <c r="B117" s="64"/>
      <c r="C117" s="65"/>
      <c r="D117" s="57"/>
      <c r="E117" s="61"/>
      <c r="F117" s="287" t="str">
        <f>F43</f>
        <v>Transmission Cost of Service Formula Rate</v>
      </c>
      <c r="G117" s="287"/>
      <c r="H117" s="61"/>
      <c r="I117" s="61"/>
      <c r="J117" s="61"/>
      <c r="K117" s="61"/>
      <c r="L117" s="61"/>
      <c r="M117" s="276"/>
      <c r="N117" s="276"/>
    </row>
    <row r="118" spans="2:15">
      <c r="B118" s="64"/>
      <c r="C118" s="65"/>
      <c r="E118" s="61"/>
      <c r="F118" s="287" t="str">
        <f>F44</f>
        <v>Utilizing Actual / Projected Cost Data for the 2022 Rate Year</v>
      </c>
      <c r="G118" s="61"/>
      <c r="H118" s="61"/>
      <c r="I118" s="61"/>
      <c r="J118" s="61"/>
      <c r="K118" s="61"/>
      <c r="L118" s="61"/>
      <c r="M118" s="276"/>
      <c r="N118" s="276"/>
    </row>
    <row r="119" spans="2:15">
      <c r="B119" s="64"/>
      <c r="C119" s="65"/>
      <c r="E119" s="61"/>
      <c r="F119" s="287"/>
      <c r="G119" s="61"/>
      <c r="H119" s="61"/>
      <c r="I119" s="61"/>
      <c r="J119" s="61"/>
      <c r="K119" s="61"/>
      <c r="L119" s="61"/>
      <c r="M119" s="276"/>
      <c r="N119" s="276"/>
    </row>
    <row r="120" spans="2:15">
      <c r="B120" s="64"/>
      <c r="C120" s="65"/>
      <c r="E120" s="100"/>
      <c r="F120" s="287" t="str">
        <f>F46</f>
        <v>AEP SOUTHWESTERN TRANSMISSION COMPANY</v>
      </c>
      <c r="G120" s="100"/>
      <c r="H120" s="100"/>
      <c r="I120" s="100"/>
      <c r="J120" s="100"/>
      <c r="K120" s="100"/>
      <c r="M120" s="276"/>
      <c r="N120" s="276"/>
    </row>
    <row r="121" spans="2:15">
      <c r="B121" s="64"/>
      <c r="C121" s="65"/>
      <c r="E121" s="100"/>
      <c r="F121" s="287"/>
      <c r="G121" s="100"/>
      <c r="H121" s="100"/>
      <c r="I121" s="100"/>
      <c r="J121" s="100"/>
      <c r="K121" s="100"/>
      <c r="M121" s="276"/>
      <c r="N121" s="276"/>
    </row>
    <row r="122" spans="2:15">
      <c r="D122" s="65" t="s">
        <v>258</v>
      </c>
      <c r="E122" s="65" t="s">
        <v>259</v>
      </c>
      <c r="F122" s="65"/>
      <c r="G122" s="65" t="s">
        <v>260</v>
      </c>
      <c r="H122" s="61"/>
      <c r="I122" s="2175" t="s">
        <v>261</v>
      </c>
      <c r="J122" s="2176"/>
      <c r="K122" s="61"/>
      <c r="L122" s="66" t="s">
        <v>262</v>
      </c>
      <c r="M122" s="276"/>
      <c r="N122" s="276"/>
    </row>
    <row r="123" spans="2:15" ht="15.75">
      <c r="B123" s="53"/>
      <c r="D123" s="65"/>
      <c r="E123" s="65"/>
      <c r="F123" s="65"/>
      <c r="G123" s="65"/>
      <c r="H123" s="61"/>
      <c r="I123" s="61"/>
      <c r="J123" s="306"/>
      <c r="K123" s="61"/>
      <c r="M123" s="276"/>
      <c r="N123" s="276"/>
      <c r="O123" s="273"/>
    </row>
    <row r="124" spans="2:15" ht="15.75">
      <c r="B124" s="307"/>
      <c r="C124" s="65"/>
      <c r="D124" s="71" t="s">
        <v>238</v>
      </c>
      <c r="E124" s="308" t="str">
        <f>E50</f>
        <v>Data Sources</v>
      </c>
      <c r="F124" s="70"/>
      <c r="G124" s="61"/>
      <c r="H124" s="61"/>
      <c r="I124" s="61"/>
      <c r="J124" s="65"/>
      <c r="K124" s="61"/>
      <c r="L124" s="308" t="str">
        <f>L50</f>
        <v>Total</v>
      </c>
      <c r="M124" s="276"/>
      <c r="N124" s="276"/>
      <c r="O124" s="273"/>
    </row>
    <row r="125" spans="2:15" ht="15.75">
      <c r="B125" s="53"/>
      <c r="C125" s="74"/>
      <c r="D125" s="309" t="s">
        <v>239</v>
      </c>
      <c r="E125" s="342" t="str">
        <f>E51</f>
        <v>(See "General Notes")</v>
      </c>
      <c r="F125" s="61"/>
      <c r="G125" s="342" t="str">
        <f>G51</f>
        <v>TO Total</v>
      </c>
      <c r="H125" s="311"/>
      <c r="I125" s="2173" t="str">
        <f>I51</f>
        <v>Allocator</v>
      </c>
      <c r="J125" s="2174"/>
      <c r="K125" s="311"/>
      <c r="L125" s="342" t="str">
        <f>L51</f>
        <v>Transmission</v>
      </c>
      <c r="M125" s="276"/>
      <c r="N125" s="276"/>
      <c r="O125" s="273"/>
    </row>
    <row r="126" spans="2:15" ht="15.75">
      <c r="B126" s="343" t="str">
        <f>B52</f>
        <v>Line</v>
      </c>
      <c r="D126" s="57"/>
      <c r="E126" s="61"/>
      <c r="F126" s="61"/>
      <c r="G126" s="309"/>
      <c r="H126" s="344"/>
      <c r="I126" s="71"/>
      <c r="K126" s="344"/>
      <c r="L126" s="309"/>
      <c r="M126" s="276"/>
      <c r="N126" s="276"/>
    </row>
    <row r="127" spans="2:15" ht="15.75" thickBot="1">
      <c r="B127" s="73" t="str">
        <f>B53</f>
        <v>No.</v>
      </c>
      <c r="C127" s="65"/>
      <c r="D127" s="57" t="s">
        <v>240</v>
      </c>
      <c r="E127" s="61"/>
      <c r="F127" s="61"/>
      <c r="G127" s="61"/>
      <c r="H127" s="61"/>
      <c r="I127" s="287"/>
      <c r="J127" s="61"/>
      <c r="K127" s="61"/>
      <c r="L127" s="61"/>
      <c r="M127" s="276"/>
      <c r="N127" s="276"/>
    </row>
    <row r="128" spans="2:15">
      <c r="B128" s="75">
        <f>+B113+1</f>
        <v>64</v>
      </c>
      <c r="C128" s="65"/>
      <c r="D128" s="57" t="s">
        <v>272</v>
      </c>
      <c r="E128" s="61" t="s">
        <v>53</v>
      </c>
      <c r="F128" s="61"/>
      <c r="G128" s="405">
        <v>3040.32</v>
      </c>
      <c r="H128"/>
      <c r="I128" s="276"/>
      <c r="J128" s="276"/>
      <c r="K128" s="276"/>
      <c r="L128" s="276"/>
      <c r="M128" s="276"/>
      <c r="N128" s="276"/>
      <c r="O128" s="61"/>
    </row>
    <row r="129" spans="1:15">
      <c r="A129" s="276"/>
      <c r="B129" s="75">
        <f>+B128+1</f>
        <v>65</v>
      </c>
      <c r="C129" s="65"/>
      <c r="D129" s="57" t="s">
        <v>396</v>
      </c>
      <c r="E129" s="61" t="s">
        <v>180</v>
      </c>
      <c r="F129" s="61"/>
      <c r="G129" s="405">
        <v>48.269999999999996</v>
      </c>
      <c r="H129"/>
      <c r="I129" s="276"/>
      <c r="J129" s="276"/>
      <c r="K129" s="276"/>
      <c r="L129" s="276"/>
      <c r="M129" s="276"/>
      <c r="N129" s="276"/>
      <c r="O129" s="61"/>
    </row>
    <row r="130" spans="1:15">
      <c r="A130" s="276"/>
      <c r="B130" s="75">
        <f t="shared" ref="B130:B134" si="6">+B129+1</f>
        <v>66</v>
      </c>
      <c r="C130" s="65"/>
      <c r="D130" s="57" t="s">
        <v>203</v>
      </c>
      <c r="E130" s="61" t="s">
        <v>181</v>
      </c>
      <c r="F130" s="61"/>
      <c r="G130" s="405">
        <v>0</v>
      </c>
      <c r="H130"/>
      <c r="I130" s="276"/>
      <c r="J130" s="276"/>
      <c r="K130" s="276"/>
      <c r="L130" s="276"/>
      <c r="M130" s="276"/>
      <c r="N130" s="276"/>
      <c r="O130" s="61"/>
    </row>
    <row r="131" spans="1:15">
      <c r="A131" s="276"/>
      <c r="B131" s="75">
        <f t="shared" si="6"/>
        <v>67</v>
      </c>
      <c r="C131" s="65"/>
      <c r="D131" s="57" t="s">
        <v>735</v>
      </c>
      <c r="E131" s="61" t="str">
        <f>"Worksheet S ln "&amp;'SWT WS S Reg Assets'!B16&amp;" (Note V)"</f>
        <v>Worksheet S ln 2 (Note V)</v>
      </c>
      <c r="F131" s="61"/>
      <c r="G131" s="1409">
        <f>+'SWT WS S Reg Assets'!I16</f>
        <v>0</v>
      </c>
      <c r="H131"/>
      <c r="I131" s="276"/>
      <c r="J131" s="276"/>
      <c r="K131" s="276"/>
      <c r="L131" s="276"/>
      <c r="M131" s="276"/>
      <c r="N131" s="276"/>
      <c r="O131" s="61"/>
    </row>
    <row r="132" spans="1:15">
      <c r="A132" s="276"/>
      <c r="B132" s="75">
        <f t="shared" si="6"/>
        <v>68</v>
      </c>
      <c r="C132" s="65"/>
      <c r="D132" s="57" t="s">
        <v>618</v>
      </c>
      <c r="E132" s="61" t="str">
        <f>"Worksheet I ln "&amp;'SWT WS I Exp Adj'!B21&amp;""</f>
        <v>Worksheet I ln 10</v>
      </c>
      <c r="F132" s="61"/>
      <c r="G132" s="347">
        <f>+'SWT WS I Exp Adj'!G21</f>
        <v>0</v>
      </c>
      <c r="H132"/>
      <c r="I132" s="276"/>
      <c r="J132" s="276"/>
      <c r="K132" s="276"/>
      <c r="L132" s="276"/>
      <c r="M132" s="276"/>
      <c r="N132" s="276"/>
      <c r="O132" s="61"/>
    </row>
    <row r="133" spans="1:15" ht="15.75" thickBot="1">
      <c r="A133" s="276"/>
      <c r="B133" s="75">
        <f t="shared" si="6"/>
        <v>69</v>
      </c>
      <c r="C133" s="65"/>
      <c r="D133" s="57" t="s">
        <v>736</v>
      </c>
      <c r="E133" s="61" t="str">
        <f>"Worksheet S ln "&amp;'SWT WS S Reg Assets'!B23&amp;" (Note V)"</f>
        <v>Worksheet S ln 4 (Note V)</v>
      </c>
      <c r="F133" s="61"/>
      <c r="G133" s="286">
        <f>+'SWT WS S Reg Assets'!I23</f>
        <v>0</v>
      </c>
      <c r="H133"/>
      <c r="I133" s="276"/>
      <c r="J133" s="276"/>
      <c r="K133" s="276"/>
      <c r="L133" s="276"/>
      <c r="M133" s="276"/>
      <c r="N133" s="276"/>
      <c r="O133" s="61"/>
    </row>
    <row r="134" spans="1:15">
      <c r="A134" s="276"/>
      <c r="B134" s="75">
        <f t="shared" si="6"/>
        <v>70</v>
      </c>
      <c r="C134" s="65"/>
      <c r="D134" s="57" t="s">
        <v>49</v>
      </c>
      <c r="E134" s="61" t="str">
        <f>"(lns "&amp;B128&amp;" - "&amp;B129&amp;" - "&amp;B130&amp;" - "&amp;B131&amp;" + "&amp;B132&amp;" + "&amp;B133&amp;")"</f>
        <v>(lns 64 - 65 - 66 - 67 + 68 + 69)</v>
      </c>
      <c r="F134" s="57"/>
      <c r="G134" s="348">
        <f>+G128-G129-G130-G131+G132+G133</f>
        <v>2992.05</v>
      </c>
      <c r="H134"/>
      <c r="I134" s="287" t="s">
        <v>257</v>
      </c>
      <c r="J134" s="288">
        <f>+$L$211</f>
        <v>1</v>
      </c>
      <c r="K134" s="61"/>
      <c r="L134" s="296">
        <f>+J134*G134</f>
        <v>2992.05</v>
      </c>
      <c r="M134" s="276"/>
      <c r="N134" s="276"/>
      <c r="O134" s="61"/>
    </row>
    <row r="135" spans="1:15">
      <c r="A135" s="276"/>
      <c r="B135" s="64"/>
      <c r="C135" s="65"/>
      <c r="D135" s="57"/>
      <c r="E135" s="61"/>
      <c r="F135" s="61"/>
      <c r="G135" s="270"/>
      <c r="H135"/>
      <c r="I135" s="276"/>
      <c r="J135" s="276"/>
      <c r="K135" s="276"/>
      <c r="L135" s="276"/>
      <c r="M135" s="276"/>
      <c r="N135" s="276"/>
      <c r="O135" s="61"/>
    </row>
    <row r="136" spans="1:15">
      <c r="A136" s="276"/>
      <c r="B136" s="64">
        <f>+B134+1</f>
        <v>71</v>
      </c>
      <c r="C136" s="65"/>
      <c r="D136" s="57" t="s">
        <v>241</v>
      </c>
      <c r="E136" s="61" t="s">
        <v>413</v>
      </c>
      <c r="F136" s="61"/>
      <c r="G136" s="405">
        <v>90370.869000000006</v>
      </c>
      <c r="H136"/>
      <c r="I136" s="333"/>
      <c r="J136" s="333"/>
      <c r="K136" s="61"/>
      <c r="L136" s="296"/>
      <c r="M136" s="276"/>
      <c r="N136" s="276"/>
      <c r="O136" s="61"/>
    </row>
    <row r="137" spans="1:15">
      <c r="A137" s="276"/>
      <c r="B137" s="64">
        <f t="shared" ref="B137:B144" si="7">+B136+1</f>
        <v>72</v>
      </c>
      <c r="C137" s="65"/>
      <c r="D137" s="57" t="s">
        <v>398</v>
      </c>
      <c r="E137" s="61" t="s">
        <v>54</v>
      </c>
      <c r="F137" s="61"/>
      <c r="G137" s="405">
        <v>0</v>
      </c>
      <c r="H137"/>
      <c r="I137" s="333"/>
      <c r="J137" s="57"/>
      <c r="K137" s="61"/>
      <c r="L137" s="296"/>
      <c r="M137" s="276"/>
      <c r="N137" s="276"/>
      <c r="O137" s="61"/>
    </row>
    <row r="138" spans="1:15">
      <c r="B138" s="64">
        <f t="shared" si="7"/>
        <v>73</v>
      </c>
      <c r="C138" s="65"/>
      <c r="D138" s="57" t="s">
        <v>397</v>
      </c>
      <c r="E138" s="61" t="s">
        <v>182</v>
      </c>
      <c r="F138" s="61"/>
      <c r="G138" s="296">
        <f>+'SWT WS J Misc Exp'!D31</f>
        <v>1.1200000000000001</v>
      </c>
      <c r="H138"/>
      <c r="I138" s="333"/>
      <c r="J138" s="349"/>
      <c r="K138" s="61"/>
      <c r="L138" s="296"/>
      <c r="M138" s="276"/>
      <c r="N138" s="276"/>
      <c r="O138" s="61"/>
    </row>
    <row r="139" spans="1:15">
      <c r="B139" s="64">
        <f t="shared" si="7"/>
        <v>74</v>
      </c>
      <c r="C139" s="65"/>
      <c r="D139" s="57" t="s">
        <v>244</v>
      </c>
      <c r="E139" s="61" t="s">
        <v>183</v>
      </c>
      <c r="F139" s="61"/>
      <c r="G139" s="296">
        <f>+'SWT WS J Misc Exp'!D41</f>
        <v>0.01</v>
      </c>
      <c r="H139"/>
      <c r="I139" s="333"/>
      <c r="J139" s="333"/>
      <c r="K139" s="61"/>
      <c r="L139" s="296"/>
      <c r="M139" s="276"/>
      <c r="N139" s="276"/>
      <c r="O139" s="61"/>
    </row>
    <row r="140" spans="1:15">
      <c r="B140" s="64">
        <f t="shared" si="7"/>
        <v>75</v>
      </c>
      <c r="C140" s="65"/>
      <c r="D140" s="57" t="s">
        <v>399</v>
      </c>
      <c r="E140" s="61" t="s">
        <v>184</v>
      </c>
      <c r="F140" s="61"/>
      <c r="G140" s="296">
        <f>+'SWT WS J Misc Exp'!D50</f>
        <v>6007.4400000000005</v>
      </c>
      <c r="H140"/>
      <c r="I140" s="333"/>
      <c r="J140" s="333"/>
      <c r="K140" s="61"/>
      <c r="L140" s="296"/>
      <c r="M140" s="276"/>
      <c r="N140" s="276"/>
      <c r="O140" s="61"/>
    </row>
    <row r="141" spans="1:15" ht="15.75" thickBot="1">
      <c r="B141" s="64">
        <f>+B140+1</f>
        <v>76</v>
      </c>
      <c r="C141" s="65"/>
      <c r="D141" s="57" t="s">
        <v>758</v>
      </c>
      <c r="E141" s="61" t="str">
        <f>"Worksheet S ln "&amp;'SWT WS S Reg Assets'!B28&amp;" (Note V)"</f>
        <v>Worksheet S ln 6 (Note V)</v>
      </c>
      <c r="F141" s="61"/>
      <c r="G141" s="296">
        <f>+'SWT WS S Reg Assets'!I28</f>
        <v>0</v>
      </c>
      <c r="H141"/>
      <c r="I141" s="333"/>
      <c r="J141" s="333"/>
      <c r="K141" s="61"/>
      <c r="L141" s="296"/>
      <c r="M141" s="276"/>
      <c r="N141" s="276"/>
      <c r="O141" s="61"/>
    </row>
    <row r="142" spans="1:15">
      <c r="B142" s="64">
        <f>+B141+1</f>
        <v>77</v>
      </c>
      <c r="C142" s="65"/>
      <c r="D142" s="57" t="s">
        <v>245</v>
      </c>
      <c r="E142" s="61" t="str">
        <f>"(ln "&amp;B136&amp;" - sum ln "&amp;B137&amp;"  to ln "&amp;B141&amp;")"</f>
        <v>(ln 71 - sum ln 72  to ln 76)</v>
      </c>
      <c r="F142" s="61"/>
      <c r="G142" s="348">
        <f>G136-SUM(G137:G141)</f>
        <v>84362.298999999999</v>
      </c>
      <c r="H142"/>
      <c r="I142" s="287" t="s">
        <v>269</v>
      </c>
      <c r="J142" s="288">
        <f>+$L$221</f>
        <v>1</v>
      </c>
      <c r="K142" s="61"/>
      <c r="L142" s="296">
        <f>+J142*G142</f>
        <v>84362.298999999999</v>
      </c>
      <c r="M142" s="276"/>
      <c r="N142" s="276"/>
      <c r="O142" s="61"/>
    </row>
    <row r="143" spans="1:15">
      <c r="B143" s="64">
        <f t="shared" si="7"/>
        <v>78</v>
      </c>
      <c r="C143" s="65"/>
      <c r="D143" s="57" t="s">
        <v>331</v>
      </c>
      <c r="E143" s="61" t="str">
        <f>"(ln "&amp;B137&amp;")"</f>
        <v>(ln 72)</v>
      </c>
      <c r="F143" s="61"/>
      <c r="G143" s="296">
        <f>+G137</f>
        <v>0</v>
      </c>
      <c r="H143"/>
      <c r="I143" s="305" t="s">
        <v>604</v>
      </c>
      <c r="J143" s="288">
        <f>+$J$63</f>
        <v>1</v>
      </c>
      <c r="K143" s="61"/>
      <c r="L143" s="296">
        <f>+J143*G143</f>
        <v>0</v>
      </c>
      <c r="M143" s="276"/>
      <c r="N143" s="276"/>
      <c r="O143" s="61"/>
    </row>
    <row r="144" spans="1:15">
      <c r="B144" s="64">
        <f t="shared" si="7"/>
        <v>79</v>
      </c>
      <c r="C144" s="65"/>
      <c r="D144" s="57" t="s">
        <v>356</v>
      </c>
      <c r="E144" s="61" t="str">
        <f>"Worksheet J ln "&amp;'SWT WS J Misc Exp'!A31&amp;".(E) (Note L)"</f>
        <v>Worksheet J ln 16.(E) (Note L)</v>
      </c>
      <c r="F144" s="61"/>
      <c r="G144" s="296">
        <f>+'SWT WS J Misc Exp'!F31</f>
        <v>1.1200000000000001</v>
      </c>
      <c r="H144"/>
      <c r="I144" s="287" t="s">
        <v>257</v>
      </c>
      <c r="J144" s="288">
        <f>+$L$211</f>
        <v>1</v>
      </c>
      <c r="K144" s="61"/>
      <c r="L144" s="296">
        <f>J144*G144</f>
        <v>1.1200000000000001</v>
      </c>
      <c r="M144" s="276"/>
      <c r="N144" s="276"/>
      <c r="O144" s="61"/>
    </row>
    <row r="145" spans="2:15">
      <c r="B145" s="64">
        <f>+B144+1</f>
        <v>80</v>
      </c>
      <c r="C145" s="65"/>
      <c r="D145" s="57" t="s">
        <v>358</v>
      </c>
      <c r="E145" s="61" t="str">
        <f>"Worksheet J ln "&amp;'SWT WS J Misc Exp'!A41&amp;".(E) (Note L)"</f>
        <v>Worksheet J ln 22.(E) (Note L)</v>
      </c>
      <c r="F145" s="61"/>
      <c r="G145" s="286">
        <f>'SWT WS J Misc Exp'!F41</f>
        <v>0.01</v>
      </c>
      <c r="H145"/>
      <c r="I145" s="305" t="s">
        <v>604</v>
      </c>
      <c r="J145" s="288">
        <f>+J63</f>
        <v>1</v>
      </c>
      <c r="K145" s="61"/>
      <c r="L145" s="286">
        <f>+J145*G145</f>
        <v>0.01</v>
      </c>
      <c r="M145" s="276"/>
      <c r="N145" s="276"/>
      <c r="O145" s="61"/>
    </row>
    <row r="146" spans="2:15">
      <c r="B146" s="64">
        <f>+B145+1</f>
        <v>81</v>
      </c>
      <c r="C146" s="65"/>
      <c r="D146" s="57" t="s">
        <v>359</v>
      </c>
      <c r="E146" s="61" t="str">
        <f>"Worksheet J ln "&amp;'SWT WS J Misc Exp'!A50&amp;".(E) (Note L)"</f>
        <v>Worksheet J ln 28.(E) (Note L)</v>
      </c>
      <c r="F146" s="61"/>
      <c r="G146" s="286">
        <f>'SWT WS J Misc Exp'!F50</f>
        <v>6007.4400000000005</v>
      </c>
      <c r="H146"/>
      <c r="I146" s="287" t="s">
        <v>266</v>
      </c>
      <c r="J146" s="288">
        <v>1</v>
      </c>
      <c r="K146" s="61"/>
      <c r="L146" s="286">
        <f>J146*G146</f>
        <v>6007.4400000000005</v>
      </c>
      <c r="M146" s="276"/>
      <c r="N146" s="276"/>
      <c r="O146" s="61"/>
    </row>
    <row r="147" spans="2:15" ht="15.75" thickBot="1">
      <c r="B147" s="64">
        <f>+B146+1</f>
        <v>82</v>
      </c>
      <c r="C147" s="65"/>
      <c r="D147" s="57" t="s">
        <v>759</v>
      </c>
      <c r="E147" s="61" t="str">
        <f>"Worksheet S ln "&amp;'SWT WS S Reg Assets'!B33&amp;" (Note V)"</f>
        <v>Worksheet S ln 8 (Note V)</v>
      </c>
      <c r="F147" s="61"/>
      <c r="G147" s="286">
        <f>+'SWT WS S Reg Assets'!I33</f>
        <v>0</v>
      </c>
      <c r="H147"/>
      <c r="I147" s="287" t="s">
        <v>269</v>
      </c>
      <c r="J147" s="288">
        <f>+$L$221</f>
        <v>1</v>
      </c>
      <c r="K147" s="61"/>
      <c r="L147" s="296">
        <f>J147*G147</f>
        <v>0</v>
      </c>
      <c r="M147" s="276"/>
      <c r="N147" s="276"/>
      <c r="O147" s="61"/>
    </row>
    <row r="148" spans="2:15">
      <c r="B148" s="64">
        <f>+B147+1</f>
        <v>83</v>
      </c>
      <c r="C148" s="65"/>
      <c r="D148" s="57" t="s">
        <v>246</v>
      </c>
      <c r="E148" s="283" t="str">
        <f>"(sum lns "&amp;B142&amp;" to "&amp;B147&amp;")"</f>
        <v>(sum lns 77 to 82)</v>
      </c>
      <c r="F148" s="61"/>
      <c r="G148" s="348">
        <f>SUM(G142:G147)</f>
        <v>90370.868999999992</v>
      </c>
      <c r="H148"/>
      <c r="I148" s="287"/>
      <c r="J148" s="333"/>
      <c r="K148" s="61"/>
      <c r="L148" s="348">
        <f>SUM(L142:L147)</f>
        <v>90370.868999999992</v>
      </c>
      <c r="M148" s="276"/>
      <c r="N148" s="276"/>
      <c r="O148" s="61"/>
    </row>
    <row r="149" spans="2:15" ht="15.75" thickBot="1">
      <c r="B149" s="64"/>
      <c r="C149" s="65"/>
      <c r="D149" s="57"/>
      <c r="E149" s="61"/>
      <c r="F149" s="61"/>
      <c r="G149" s="322"/>
      <c r="H149"/>
      <c r="I149" s="287"/>
      <c r="J149" s="333"/>
      <c r="K149" s="61"/>
      <c r="L149" s="322"/>
      <c r="M149" s="276"/>
      <c r="N149" s="276"/>
      <c r="O149" s="61"/>
    </row>
    <row r="150" spans="2:15">
      <c r="B150" s="64">
        <f>+B148+1</f>
        <v>84</v>
      </c>
      <c r="C150" s="65"/>
      <c r="D150" s="57" t="s">
        <v>247</v>
      </c>
      <c r="E150" s="61" t="str">
        <f>"(ln "&amp;B134&amp;" + ln "&amp;B148&amp;")"</f>
        <v>(ln 70 + ln 83)</v>
      </c>
      <c r="F150" s="61"/>
      <c r="G150" s="296">
        <f>G134+G148</f>
        <v>93362.918999999994</v>
      </c>
      <c r="H150"/>
      <c r="I150" s="287"/>
      <c r="J150" s="339"/>
      <c r="K150" s="61"/>
      <c r="L150" s="296">
        <f>+L148+L134</f>
        <v>93362.918999999994</v>
      </c>
      <c r="M150" s="276"/>
      <c r="N150" s="276"/>
      <c r="O150" s="61"/>
    </row>
    <row r="151" spans="2:15">
      <c r="B151" s="64"/>
      <c r="C151" s="65"/>
      <c r="D151" s="57"/>
      <c r="E151" s="61"/>
      <c r="F151" s="61"/>
      <c r="G151" s="286"/>
      <c r="H151"/>
      <c r="I151" s="313"/>
      <c r="J151" s="351"/>
      <c r="K151" s="350"/>
      <c r="L151" s="286"/>
      <c r="M151" s="276"/>
      <c r="N151" s="276"/>
      <c r="O151" s="61"/>
    </row>
    <row r="152" spans="2:15">
      <c r="B152" s="64">
        <f>+B150+1</f>
        <v>85</v>
      </c>
      <c r="C152" s="65"/>
      <c r="D152" s="314" t="s">
        <v>250</v>
      </c>
      <c r="E152" s="287"/>
      <c r="F152" s="287"/>
      <c r="G152" s="286"/>
      <c r="H152"/>
      <c r="I152" s="313"/>
      <c r="J152" s="350"/>
      <c r="K152" s="350"/>
      <c r="L152" s="286"/>
      <c r="M152" s="276"/>
      <c r="N152" s="276"/>
      <c r="O152" s="61"/>
    </row>
    <row r="153" spans="2:15">
      <c r="B153" s="64">
        <f t="shared" ref="B153:B156" si="8">+B152+1</f>
        <v>86</v>
      </c>
      <c r="C153" s="65"/>
      <c r="D153" s="317" t="s">
        <v>265</v>
      </c>
      <c r="E153" s="283" t="s">
        <v>870</v>
      </c>
      <c r="F153" s="352"/>
      <c r="G153" s="405">
        <v>0</v>
      </c>
      <c r="H153"/>
      <c r="I153" s="319" t="s">
        <v>257</v>
      </c>
      <c r="J153" s="288">
        <f>+L211</f>
        <v>1</v>
      </c>
      <c r="K153" s="350"/>
      <c r="L153" s="321">
        <f>+G153*J153</f>
        <v>0</v>
      </c>
      <c r="M153" s="276"/>
      <c r="N153" s="276"/>
      <c r="O153" s="61"/>
    </row>
    <row r="154" spans="2:15">
      <c r="B154" s="64">
        <f>+B153+1</f>
        <v>87</v>
      </c>
      <c r="C154" s="65"/>
      <c r="D154" s="314" t="s">
        <v>273</v>
      </c>
      <c r="E154" s="352" t="s">
        <v>871</v>
      </c>
      <c r="F154" s="61"/>
      <c r="G154" s="405">
        <v>0</v>
      </c>
      <c r="H154"/>
      <c r="I154" s="287" t="s">
        <v>269</v>
      </c>
      <c r="J154" s="288">
        <f>+$L$221</f>
        <v>1</v>
      </c>
      <c r="K154" s="61"/>
      <c r="L154" s="296">
        <f>+J154*G154</f>
        <v>0</v>
      </c>
      <c r="M154" s="276"/>
      <c r="N154" s="276"/>
      <c r="O154" s="61"/>
    </row>
    <row r="155" spans="2:15" ht="15.75" thickBot="1">
      <c r="B155" s="64">
        <f t="shared" si="8"/>
        <v>88</v>
      </c>
      <c r="C155" s="65"/>
      <c r="D155" s="314" t="s">
        <v>274</v>
      </c>
      <c r="E155" s="352" t="s">
        <v>659</v>
      </c>
      <c r="F155" s="61"/>
      <c r="G155" s="405">
        <v>0</v>
      </c>
      <c r="H155"/>
      <c r="I155" s="287" t="s">
        <v>269</v>
      </c>
      <c r="J155" s="288">
        <f>+L221</f>
        <v>1</v>
      </c>
      <c r="K155" s="61"/>
      <c r="L155" s="322">
        <f>+J155*G155</f>
        <v>0</v>
      </c>
      <c r="M155" s="276"/>
      <c r="N155" s="276"/>
      <c r="O155" s="61"/>
    </row>
    <row r="156" spans="2:15">
      <c r="B156" s="64">
        <f t="shared" si="8"/>
        <v>89</v>
      </c>
      <c r="C156" s="65"/>
      <c r="D156" s="314" t="s">
        <v>384</v>
      </c>
      <c r="E156" s="283" t="str">
        <f>"(sum lns "&amp;B153&amp;" to "&amp;B155&amp;")"</f>
        <v>(sum lns 86 to 88)</v>
      </c>
      <c r="F156" s="61"/>
      <c r="G156" s="348">
        <f>SUM(G153:G155)</f>
        <v>0</v>
      </c>
      <c r="H156"/>
      <c r="I156" s="287"/>
      <c r="J156" s="61"/>
      <c r="K156" s="61"/>
      <c r="L156" s="296">
        <f>SUM(L153:L155)</f>
        <v>0</v>
      </c>
      <c r="M156" s="276"/>
      <c r="N156" s="276"/>
      <c r="O156" s="61"/>
    </row>
    <row r="157" spans="2:15">
      <c r="B157" s="64"/>
      <c r="C157" s="65"/>
      <c r="D157" s="314"/>
      <c r="E157" s="283"/>
      <c r="F157" s="61"/>
      <c r="G157" s="296"/>
      <c r="H157"/>
      <c r="I157" s="287"/>
      <c r="J157" s="61"/>
      <c r="K157" s="61"/>
      <c r="L157" s="296"/>
      <c r="M157" s="276"/>
      <c r="N157" s="276"/>
      <c r="O157" s="61"/>
    </row>
    <row r="158" spans="2:15">
      <c r="B158" s="64">
        <f>+B156+1</f>
        <v>90</v>
      </c>
      <c r="C158" s="65"/>
      <c r="D158" s="314" t="s">
        <v>209</v>
      </c>
      <c r="E158" s="61" t="s">
        <v>412</v>
      </c>
      <c r="G158" s="296"/>
      <c r="H158"/>
      <c r="I158" s="287"/>
      <c r="J158" s="61"/>
      <c r="K158" s="61"/>
      <c r="L158" s="296"/>
      <c r="M158" s="276"/>
      <c r="N158" s="276"/>
      <c r="O158" s="61"/>
    </row>
    <row r="159" spans="2:15">
      <c r="B159" s="64">
        <f t="shared" ref="B159:B165" si="9">+B158+1</f>
        <v>91</v>
      </c>
      <c r="C159" s="65"/>
      <c r="D159" s="314" t="s">
        <v>275</v>
      </c>
      <c r="G159" s="296"/>
      <c r="H159"/>
      <c r="I159" s="287"/>
      <c r="K159" s="61"/>
      <c r="L159" s="296"/>
      <c r="M159" s="276"/>
      <c r="N159" s="276"/>
      <c r="O159" s="61"/>
    </row>
    <row r="160" spans="2:15">
      <c r="B160" s="64">
        <f t="shared" si="9"/>
        <v>92</v>
      </c>
      <c r="C160" s="65"/>
      <c r="D160" s="314" t="s">
        <v>276</v>
      </c>
      <c r="E160" s="61" t="s">
        <v>185</v>
      </c>
      <c r="F160" s="61"/>
      <c r="G160" s="296">
        <f>+'SWT WS L Other Taxes'!I54</f>
        <v>0</v>
      </c>
      <c r="H160"/>
      <c r="I160" s="287" t="s">
        <v>269</v>
      </c>
      <c r="J160" s="288">
        <f>+L221</f>
        <v>1</v>
      </c>
      <c r="K160" s="61"/>
      <c r="L160" s="296">
        <f>+J160*G160</f>
        <v>0</v>
      </c>
      <c r="M160" s="276"/>
      <c r="N160" s="276"/>
      <c r="O160" s="61"/>
    </row>
    <row r="161" spans="2:15">
      <c r="B161" s="64">
        <f t="shared" si="9"/>
        <v>93</v>
      </c>
      <c r="C161" s="65"/>
      <c r="D161" s="314" t="s">
        <v>277</v>
      </c>
      <c r="E161" s="61" t="s">
        <v>251</v>
      </c>
      <c r="F161" s="61"/>
      <c r="G161" s="296"/>
      <c r="H161"/>
      <c r="I161" s="287"/>
      <c r="K161" s="61"/>
      <c r="L161" s="296"/>
      <c r="M161" s="276"/>
      <c r="N161" s="276"/>
      <c r="O161" s="61"/>
    </row>
    <row r="162" spans="2:15">
      <c r="B162" s="64">
        <f t="shared" si="9"/>
        <v>94</v>
      </c>
      <c r="C162" s="65"/>
      <c r="D162" s="314" t="s">
        <v>278</v>
      </c>
      <c r="E162" s="61" t="s">
        <v>186</v>
      </c>
      <c r="F162" s="61"/>
      <c r="G162" s="296">
        <f>+'SWT WS L Other Taxes'!G54</f>
        <v>0</v>
      </c>
      <c r="H162"/>
      <c r="I162" s="287" t="s">
        <v>604</v>
      </c>
      <c r="J162" s="288">
        <f>+J63</f>
        <v>1</v>
      </c>
      <c r="K162" s="61"/>
      <c r="L162" s="296">
        <f>+G162*J162</f>
        <v>0</v>
      </c>
      <c r="M162" s="276"/>
      <c r="N162" s="276"/>
      <c r="O162" s="61"/>
    </row>
    <row r="163" spans="2:15">
      <c r="B163" s="64">
        <f t="shared" si="9"/>
        <v>95</v>
      </c>
      <c r="C163" s="65"/>
      <c r="D163" s="314" t="s">
        <v>823</v>
      </c>
      <c r="E163" s="61" t="s">
        <v>187</v>
      </c>
      <c r="F163" s="61"/>
      <c r="G163" s="296">
        <f>+'SWT WS L Other Taxes'!M54</f>
        <v>0</v>
      </c>
      <c r="H163"/>
      <c r="I163" s="287" t="s">
        <v>264</v>
      </c>
      <c r="J163" s="288">
        <v>0</v>
      </c>
      <c r="K163" s="61"/>
      <c r="L163" s="296">
        <f>+J163*G163</f>
        <v>0</v>
      </c>
      <c r="M163" s="276"/>
      <c r="N163" s="276"/>
      <c r="O163" s="61"/>
    </row>
    <row r="164" spans="2:15" ht="15.75" thickBot="1">
      <c r="B164" s="64">
        <f t="shared" si="9"/>
        <v>96</v>
      </c>
      <c r="C164" s="65"/>
      <c r="D164" s="314" t="s">
        <v>315</v>
      </c>
      <c r="E164" s="61" t="s">
        <v>188</v>
      </c>
      <c r="F164" s="61"/>
      <c r="G164" s="322">
        <f>+'SWT WS L Other Taxes'!K54</f>
        <v>0</v>
      </c>
      <c r="H164"/>
      <c r="I164" s="287" t="s">
        <v>604</v>
      </c>
      <c r="J164" s="288">
        <f>+J63</f>
        <v>1</v>
      </c>
      <c r="K164" s="61"/>
      <c r="L164" s="322">
        <f>+J164*G164</f>
        <v>0</v>
      </c>
      <c r="M164" s="276"/>
      <c r="N164" s="276"/>
      <c r="O164" s="61"/>
    </row>
    <row r="165" spans="2:15">
      <c r="B165" s="64">
        <f t="shared" si="9"/>
        <v>97</v>
      </c>
      <c r="C165" s="65"/>
      <c r="D165" s="314" t="s">
        <v>210</v>
      </c>
      <c r="E165" s="283" t="str">
        <f>"(sum lns "&amp;B160&amp;" to "&amp;B164&amp;")"</f>
        <v>(sum lns 92 to 96)</v>
      </c>
      <c r="F165" s="61"/>
      <c r="G165" s="296">
        <f>SUM(G160:G164)</f>
        <v>0</v>
      </c>
      <c r="H165"/>
      <c r="I165" s="287"/>
      <c r="J165" s="353"/>
      <c r="K165" s="61"/>
      <c r="L165" s="296">
        <f>SUM(L160:L164)</f>
        <v>0</v>
      </c>
      <c r="M165" s="276"/>
      <c r="N165" s="276"/>
      <c r="O165" s="61"/>
    </row>
    <row r="166" spans="2:15">
      <c r="B166" s="64"/>
      <c r="C166" s="65"/>
      <c r="D166" s="314"/>
      <c r="E166" s="61"/>
      <c r="F166" s="61"/>
      <c r="G166" s="61"/>
      <c r="H166"/>
      <c r="I166" s="287"/>
      <c r="J166" s="353"/>
      <c r="K166" s="61"/>
      <c r="L166" s="61"/>
      <c r="M166" s="276"/>
      <c r="N166" s="276"/>
      <c r="O166" s="61"/>
    </row>
    <row r="167" spans="2:15">
      <c r="B167" s="64">
        <f>+B165+1</f>
        <v>98</v>
      </c>
      <c r="C167" s="65"/>
      <c r="D167" s="314" t="s">
        <v>402</v>
      </c>
      <c r="E167" s="61" t="s">
        <v>411</v>
      </c>
      <c r="F167" s="354"/>
      <c r="G167" s="61"/>
      <c r="H167"/>
      <c r="I167" s="100"/>
      <c r="K167" s="61"/>
      <c r="M167" s="276"/>
      <c r="N167" s="276"/>
      <c r="O167" s="61"/>
    </row>
    <row r="168" spans="2:15">
      <c r="B168" s="64">
        <f t="shared" ref="B168:B175" si="10">+B167+1</f>
        <v>99</v>
      </c>
      <c r="C168" s="65"/>
      <c r="D168" s="355" t="s">
        <v>403</v>
      </c>
      <c r="E168" s="61"/>
      <c r="F168" s="356"/>
      <c r="G168" s="357">
        <f>IF(F317&gt;0,1-(((1-F318)*(1-F317))/(1-F318*F317*F319)),0)</f>
        <v>0.26924999999999988</v>
      </c>
      <c r="H168"/>
      <c r="I168" s="100"/>
      <c r="J168" s="358"/>
      <c r="K168" s="61"/>
      <c r="M168" s="276"/>
      <c r="N168" s="276"/>
      <c r="O168" s="61"/>
    </row>
    <row r="169" spans="2:15">
      <c r="B169" s="64">
        <f t="shared" si="10"/>
        <v>100</v>
      </c>
      <c r="C169" s="65"/>
      <c r="D169" s="82" t="s">
        <v>404</v>
      </c>
      <c r="E169" s="61"/>
      <c r="F169" s="356"/>
      <c r="G169" s="357">
        <f>IF(L252&gt;0,($G168/(1-$G168))*(1-$L252/$L255),0)</f>
        <v>0.27642109173851304</v>
      </c>
      <c r="H169"/>
      <c r="I169" s="100"/>
      <c r="K169" s="61"/>
      <c r="M169" s="276"/>
      <c r="N169" s="276"/>
      <c r="O169" s="61"/>
    </row>
    <row r="170" spans="2:15">
      <c r="B170" s="64">
        <f t="shared" si="10"/>
        <v>101</v>
      </c>
      <c r="C170" s="65"/>
      <c r="D170" s="314" t="str">
        <f>"       where WCLTD=(ln "&amp;B235&amp;") and WACC = (ln "&amp;B238&amp;")"</f>
        <v xml:space="preserve">       where WCLTD=(ln 141) and WACC = (ln 144)</v>
      </c>
      <c r="E170" s="61"/>
      <c r="F170" s="354"/>
      <c r="G170" s="61"/>
      <c r="H170"/>
      <c r="I170" s="100"/>
      <c r="J170" s="359"/>
      <c r="K170" s="61"/>
      <c r="L170" s="360"/>
      <c r="M170" s="276"/>
      <c r="N170" s="276"/>
      <c r="O170" s="61"/>
    </row>
    <row r="171" spans="2:15">
      <c r="B171" s="64">
        <f t="shared" si="10"/>
        <v>102</v>
      </c>
      <c r="C171" s="65"/>
      <c r="D171" s="314" t="s">
        <v>410</v>
      </c>
      <c r="E171" s="361"/>
      <c r="F171" s="356"/>
      <c r="G171" s="61"/>
      <c r="H171"/>
      <c r="I171" s="100"/>
      <c r="J171" s="359"/>
      <c r="K171" s="61"/>
      <c r="M171" s="276"/>
      <c r="N171" s="276"/>
      <c r="O171" s="61"/>
    </row>
    <row r="172" spans="2:15">
      <c r="B172" s="64">
        <f t="shared" si="10"/>
        <v>103</v>
      </c>
      <c r="C172" s="65"/>
      <c r="D172" s="355" t="str">
        <f>"      GRCF=1 / (1 - T)  = (from ln "&amp;B168&amp;")"</f>
        <v xml:space="preserve">      GRCF=1 / (1 - T)  = (from ln 99)</v>
      </c>
      <c r="E172" s="354"/>
      <c r="F172" s="354"/>
      <c r="G172" s="362">
        <f>IF(G168&gt;0,1/(1-G168),0)</f>
        <v>1.3684570646595962</v>
      </c>
      <c r="H172"/>
      <c r="I172" s="305"/>
      <c r="J172" s="363"/>
      <c r="K172" s="296"/>
      <c r="L172" s="304"/>
      <c r="M172" s="276"/>
      <c r="N172" s="276"/>
      <c r="O172" s="61"/>
    </row>
    <row r="173" spans="2:15">
      <c r="B173" s="64">
        <f t="shared" si="10"/>
        <v>104</v>
      </c>
      <c r="C173" s="65"/>
      <c r="D173" s="314" t="s">
        <v>405</v>
      </c>
      <c r="E173" s="333" t="s">
        <v>176</v>
      </c>
      <c r="F173" s="354"/>
      <c r="G173" s="405">
        <v>0</v>
      </c>
      <c r="H173"/>
      <c r="I173" s="305"/>
      <c r="J173" s="364"/>
      <c r="K173" s="296"/>
      <c r="M173" s="276"/>
      <c r="N173" s="276"/>
      <c r="O173" s="61"/>
    </row>
    <row r="174" spans="2:15">
      <c r="B174" s="64">
        <f t="shared" si="10"/>
        <v>105</v>
      </c>
      <c r="C174" s="65"/>
      <c r="D174" s="112" t="s">
        <v>500</v>
      </c>
      <c r="E174" s="333" t="str">
        <f xml:space="preserve"> "Company Records (Note O) and WS C-4 Ln "&amp;'SWT WS C-4 Excess FIT'!A53</f>
        <v>Company Records (Note O) and WS C-4 Ln 24</v>
      </c>
      <c r="F174" s="354"/>
      <c r="G174" s="405">
        <f>+'SWT WS C-4 Excess FIT'!D53</f>
        <v>1862.0619999999999</v>
      </c>
      <c r="H174" s="276"/>
      <c r="I174" s="305" t="s">
        <v>266</v>
      </c>
      <c r="J174" s="364"/>
      <c r="K174" s="1409"/>
      <c r="L174" s="286">
        <f>+'SWT WS C-4 Excess FIT'!D53</f>
        <v>1862.0619999999999</v>
      </c>
      <c r="M174" s="276"/>
      <c r="N174" s="276"/>
      <c r="O174" s="61"/>
    </row>
    <row r="175" spans="2:15">
      <c r="B175" s="64">
        <f t="shared" si="10"/>
        <v>106</v>
      </c>
      <c r="C175" s="65"/>
      <c r="D175" s="112" t="s">
        <v>587</v>
      </c>
      <c r="E175" s="333" t="s">
        <v>658</v>
      </c>
      <c r="F175" s="354"/>
      <c r="G175" s="405"/>
      <c r="H175" s="276"/>
      <c r="I175" s="305" t="s">
        <v>266</v>
      </c>
      <c r="J175" s="364"/>
      <c r="K175" s="1409"/>
      <c r="L175" s="405"/>
      <c r="M175" s="276"/>
      <c r="N175" s="276"/>
      <c r="O175" s="61"/>
    </row>
    <row r="176" spans="2:15">
      <c r="B176" s="64"/>
      <c r="C176" s="65"/>
      <c r="D176" s="314"/>
      <c r="E176" s="61"/>
      <c r="F176" s="356"/>
      <c r="G176" s="296"/>
      <c r="H176" s="276"/>
      <c r="I176" s="305"/>
      <c r="J176" s="360"/>
      <c r="K176" s="296"/>
      <c r="M176" s="276"/>
      <c r="N176" s="276"/>
      <c r="O176" s="61"/>
    </row>
    <row r="177" spans="2:15">
      <c r="B177" s="64">
        <f>+B175+1</f>
        <v>107</v>
      </c>
      <c r="C177" s="65"/>
      <c r="D177" s="355" t="s">
        <v>418</v>
      </c>
      <c r="E177" s="365" t="str">
        <f>"(ln "&amp;B169&amp;" * ln "&amp;B184&amp;")"</f>
        <v>(ln 100 * ln 112)</v>
      </c>
      <c r="F177" s="366"/>
      <c r="G177" s="296">
        <f>+G169*G184</f>
        <v>0</v>
      </c>
      <c r="H177" s="276"/>
      <c r="I177" s="305"/>
      <c r="J177" s="360"/>
      <c r="K177" s="296"/>
      <c r="L177" s="296">
        <f>+L184*G169</f>
        <v>13218.912073251955</v>
      </c>
      <c r="M177" s="276"/>
      <c r="N177" s="276"/>
      <c r="O177" s="61"/>
    </row>
    <row r="178" spans="2:15">
      <c r="B178" s="64">
        <f>+B177+1</f>
        <v>108</v>
      </c>
      <c r="C178" s="65"/>
      <c r="D178" s="82" t="s">
        <v>419</v>
      </c>
      <c r="E178" s="365" t="str">
        <f>"(ln "&amp;B172&amp;" * ln "&amp;B173&amp;")"</f>
        <v>(ln 103 * ln 104)</v>
      </c>
      <c r="F178" s="365"/>
      <c r="G178" s="286">
        <f>G172*G173</f>
        <v>0</v>
      </c>
      <c r="H178" s="276"/>
      <c r="I178" s="65" t="s">
        <v>604</v>
      </c>
      <c r="J178" s="288">
        <f>+J63</f>
        <v>1</v>
      </c>
      <c r="K178" s="296"/>
      <c r="L178" s="286">
        <f>+G178*J178</f>
        <v>0</v>
      </c>
      <c r="M178" s="276"/>
      <c r="N178" s="276"/>
      <c r="O178" s="61"/>
    </row>
    <row r="179" spans="2:15">
      <c r="B179" s="64">
        <f>+B178+1</f>
        <v>109</v>
      </c>
      <c r="C179" s="65"/>
      <c r="D179" s="112" t="s">
        <v>500</v>
      </c>
      <c r="E179" s="365" t="str">
        <f>"(ln "&amp;B172&amp;" * ln "&amp;B174&amp;")"</f>
        <v>(ln 103 * ln 105)</v>
      </c>
      <c r="F179" s="365"/>
      <c r="G179" s="286">
        <f>G172*G174</f>
        <v>2548.1518987341769</v>
      </c>
      <c r="H179" s="276"/>
      <c r="I179" s="305" t="s">
        <v>266</v>
      </c>
      <c r="J179" s="288"/>
      <c r="K179" s="296"/>
      <c r="L179" s="286">
        <f>G172*L174</f>
        <v>2548.1518987341769</v>
      </c>
      <c r="M179" s="276"/>
      <c r="N179" s="276"/>
      <c r="O179" s="61"/>
    </row>
    <row r="180" spans="2:15">
      <c r="B180" s="64">
        <f>+B179+1</f>
        <v>110</v>
      </c>
      <c r="C180" s="65"/>
      <c r="D180" s="112" t="s">
        <v>587</v>
      </c>
      <c r="E180" s="365" t="str">
        <f>"(ln "&amp;B172&amp;" * ln "&amp;B175&amp;")"</f>
        <v>(ln 103 * ln 106)</v>
      </c>
      <c r="F180" s="365"/>
      <c r="G180" s="286">
        <f>G172*G175</f>
        <v>0</v>
      </c>
      <c r="H180" s="276"/>
      <c r="I180" s="305" t="s">
        <v>266</v>
      </c>
      <c r="J180" s="288"/>
      <c r="K180" s="296"/>
      <c r="L180" s="286">
        <f>G172*L175</f>
        <v>0</v>
      </c>
      <c r="M180" s="276"/>
      <c r="N180" s="276"/>
      <c r="O180" s="61"/>
    </row>
    <row r="181" spans="2:15">
      <c r="B181" s="64"/>
      <c r="C181" s="65"/>
      <c r="D181" s="112"/>
      <c r="E181" s="365"/>
      <c r="F181" s="365"/>
      <c r="G181" s="286"/>
      <c r="H181" s="276"/>
      <c r="I181" s="367"/>
      <c r="J181" s="288"/>
      <c r="K181" s="296"/>
      <c r="L181" s="286"/>
      <c r="M181" s="276"/>
      <c r="N181" s="276"/>
      <c r="O181" s="61"/>
    </row>
    <row r="182" spans="2:15">
      <c r="B182" s="64">
        <f>+B180+1</f>
        <v>111</v>
      </c>
      <c r="C182" s="65"/>
      <c r="D182" s="355" t="s">
        <v>211</v>
      </c>
      <c r="E182" s="61" t="str">
        <f>"(sum lns "&amp;B177&amp;" to "&amp;B180&amp;")"</f>
        <v>(sum lns 107 to 110)</v>
      </c>
      <c r="F182" s="365"/>
      <c r="G182" s="367">
        <f>SUM(G177:G180)</f>
        <v>2548.1518987341769</v>
      </c>
      <c r="H182" s="276"/>
      <c r="I182" s="305" t="s">
        <v>251</v>
      </c>
      <c r="J182" s="368"/>
      <c r="K182" s="296"/>
      <c r="L182" s="296">
        <f>SUM(L177:L180)</f>
        <v>15767.063971986132</v>
      </c>
      <c r="M182" s="276"/>
      <c r="N182" s="276"/>
      <c r="O182" s="61"/>
    </row>
    <row r="183" spans="2:15">
      <c r="B183" s="64"/>
      <c r="C183" s="65"/>
      <c r="D183" s="314"/>
      <c r="E183" s="61"/>
      <c r="F183" s="61"/>
      <c r="G183" s="61"/>
      <c r="H183" s="61"/>
      <c r="I183" s="287"/>
      <c r="J183" s="353"/>
      <c r="K183" s="61"/>
      <c r="L183" s="61"/>
      <c r="M183" s="276"/>
      <c r="N183" s="276"/>
      <c r="O183" s="61"/>
    </row>
    <row r="184" spans="2:15">
      <c r="B184" s="64">
        <f>+B182+1</f>
        <v>112</v>
      </c>
      <c r="C184" s="65"/>
      <c r="D184" s="355" t="s">
        <v>332</v>
      </c>
      <c r="E184" s="355" t="str">
        <f>"(ln "&amp;B113&amp;" * ln "&amp;B238&amp;")"</f>
        <v>(ln 63 * ln 144)</v>
      </c>
      <c r="F184" s="337"/>
      <c r="G184" s="296">
        <f>+$L238*G113</f>
        <v>0</v>
      </c>
      <c r="H184" s="61"/>
      <c r="I184" s="305"/>
      <c r="J184" s="296"/>
      <c r="K184" s="296"/>
      <c r="L184" s="1927">
        <f>+L255*L113</f>
        <v>47821.647726348943</v>
      </c>
      <c r="M184" s="276"/>
      <c r="N184" s="276"/>
    </row>
    <row r="185" spans="2:15">
      <c r="B185" s="64"/>
      <c r="C185" s="65"/>
      <c r="D185" s="355"/>
      <c r="G185" s="296"/>
      <c r="H185" s="296"/>
      <c r="I185" s="305"/>
      <c r="J185" s="305"/>
      <c r="K185" s="296"/>
      <c r="L185" s="296"/>
      <c r="M185" s="276"/>
      <c r="N185" s="276"/>
    </row>
    <row r="186" spans="2:15">
      <c r="B186" s="64">
        <f>+B184+1</f>
        <v>113</v>
      </c>
      <c r="C186" s="65"/>
      <c r="D186" s="369" t="str">
        <f>"INTEREST ON IPP CONTRIBUTION FOR CONST. (Note E) (Worksheet E, ln "&amp;'SWT WS E IPP Credits'!A12&amp;")"</f>
        <v>INTEREST ON IPP CONTRIBUTION FOR CONST. (Note E) (Worksheet E, ln 2)</v>
      </c>
      <c r="F186" s="352"/>
      <c r="G186" s="296">
        <f>'SWT WS E IPP Credits'!C12</f>
        <v>0</v>
      </c>
      <c r="H186" s="296"/>
      <c r="I186" s="340" t="s">
        <v>266</v>
      </c>
      <c r="J186" s="288">
        <v>1</v>
      </c>
      <c r="K186" s="321"/>
      <c r="L186" s="296">
        <f>+J186*G186</f>
        <v>0</v>
      </c>
      <c r="M186" s="276"/>
      <c r="N186" s="276"/>
    </row>
    <row r="187" spans="2:15" ht="15.75" thickBot="1">
      <c r="B187" s="64"/>
      <c r="C187" s="65"/>
      <c r="D187" s="314"/>
      <c r="G187" s="322"/>
      <c r="H187" s="370"/>
      <c r="I187" s="305"/>
      <c r="J187" s="305"/>
      <c r="K187" s="296"/>
      <c r="L187" s="322"/>
      <c r="M187" s="276"/>
      <c r="N187" s="276"/>
    </row>
    <row r="188" spans="2:15" ht="15.75" thickBot="1">
      <c r="B188" s="64">
        <f>+B186+1</f>
        <v>114</v>
      </c>
      <c r="C188" s="65"/>
      <c r="D188" s="57" t="s">
        <v>141</v>
      </c>
      <c r="E188" s="371"/>
      <c r="F188" s="371"/>
      <c r="G188" s="341">
        <f>G150+G156+G165+G182+G184+G186</f>
        <v>95911.070898734179</v>
      </c>
      <c r="H188" s="296"/>
      <c r="I188" s="305"/>
      <c r="J188" s="339"/>
      <c r="K188" s="296"/>
      <c r="L188" s="341">
        <f>L150+L156+L165+L182+L184+L186</f>
        <v>156951.63069833507</v>
      </c>
      <c r="M188" s="276"/>
      <c r="N188" s="276"/>
    </row>
    <row r="189" spans="2:15" ht="15.75" thickTop="1">
      <c r="B189" s="64">
        <f>+B188+1</f>
        <v>115</v>
      </c>
      <c r="C189" s="65"/>
      <c r="D189" s="57" t="str">
        <f>"    (sum lns "&amp;B150&amp;", "&amp;B156&amp;", "&amp;B165&amp;", "&amp;B182&amp;", "&amp;B184&amp;", "&amp;B186&amp;")"</f>
        <v xml:space="preserve">    (sum lns 84, 89, 97, 111, 112, 113)</v>
      </c>
      <c r="E189" s="371"/>
      <c r="F189" s="371"/>
      <c r="G189" s="286"/>
      <c r="H189" s="296"/>
      <c r="I189" s="296"/>
      <c r="J189" s="339"/>
      <c r="K189" s="296"/>
      <c r="L189" s="286"/>
      <c r="M189" s="276"/>
      <c r="N189" s="276"/>
    </row>
    <row r="190" spans="2:15">
      <c r="B190" s="64"/>
      <c r="C190" s="65"/>
      <c r="D190" s="57"/>
      <c r="E190" s="371"/>
      <c r="F190" s="371"/>
      <c r="G190" s="286"/>
      <c r="H190" s="296"/>
      <c r="I190" s="296"/>
      <c r="J190" s="339"/>
      <c r="K190" s="296"/>
      <c r="L190" s="286"/>
      <c r="M190" s="276"/>
      <c r="N190" s="276"/>
    </row>
    <row r="191" spans="2:15">
      <c r="B191" s="64">
        <f>+B189+1</f>
        <v>116</v>
      </c>
      <c r="C191" s="65"/>
      <c r="D191" s="57" t="s">
        <v>409</v>
      </c>
      <c r="F191" s="371"/>
      <c r="G191" s="302">
        <f>+'SWT WS K State Taxes'!I48</f>
        <v>0</v>
      </c>
      <c r="H191" s="296"/>
      <c r="I191" s="305" t="s">
        <v>266</v>
      </c>
      <c r="J191" s="339"/>
      <c r="K191" s="296"/>
      <c r="L191" s="302">
        <f>+'SWT WS K State Taxes'!K48</f>
        <v>0</v>
      </c>
      <c r="M191" s="276"/>
      <c r="N191" s="276"/>
    </row>
    <row r="192" spans="2:15" ht="15.75">
      <c r="B192" s="64"/>
      <c r="C192" s="276"/>
      <c r="D192" s="276"/>
      <c r="E192" s="276"/>
      <c r="F192" s="276"/>
      <c r="G192" s="276"/>
      <c r="H192" s="276"/>
      <c r="I192" s="273"/>
      <c r="J192" s="328"/>
      <c r="K192" s="273"/>
      <c r="M192" s="276"/>
      <c r="N192" s="276"/>
    </row>
    <row r="193" spans="2:16" ht="15.75" thickBot="1">
      <c r="B193" s="64">
        <f>+B191+1</f>
        <v>117</v>
      </c>
      <c r="C193" s="65"/>
      <c r="D193" s="53" t="s">
        <v>649</v>
      </c>
      <c r="E193" s="61" t="str">
        <f>"(ln "&amp;B188&amp;" + "&amp;B191&amp;")"</f>
        <v>(ln 114 + 116)</v>
      </c>
      <c r="G193" s="372">
        <f>+G188+G191</f>
        <v>95911.070898734179</v>
      </c>
      <c r="J193" s="339"/>
      <c r="L193" s="372">
        <f>+L188+L191</f>
        <v>156951.63069833507</v>
      </c>
      <c r="M193" s="276"/>
      <c r="N193" s="276"/>
    </row>
    <row r="194" spans="2:16" ht="15.75" thickTop="1">
      <c r="B194" s="64"/>
      <c r="C194" s="65"/>
      <c r="D194" s="57"/>
      <c r="F194" s="373"/>
      <c r="M194" s="276"/>
      <c r="N194" s="276"/>
    </row>
    <row r="195" spans="2:16">
      <c r="B195" s="64"/>
      <c r="C195" s="65"/>
      <c r="F195" s="373"/>
      <c r="M195" s="276"/>
      <c r="N195" s="276"/>
    </row>
    <row r="196" spans="2:16">
      <c r="B196" s="64"/>
      <c r="C196" s="65"/>
      <c r="D196" s="57"/>
      <c r="F196" s="100" t="str">
        <f>F116</f>
        <v xml:space="preserve">AEP West SPP Member Transmission Companies </v>
      </c>
      <c r="M196" s="276"/>
      <c r="N196" s="276"/>
    </row>
    <row r="197" spans="2:16">
      <c r="B197" s="64"/>
      <c r="C197" s="65"/>
      <c r="D197" s="57"/>
      <c r="F197" s="100" t="str">
        <f>F117</f>
        <v>Transmission Cost of Service Formula Rate</v>
      </c>
      <c r="M197" s="276"/>
      <c r="N197" s="276"/>
    </row>
    <row r="198" spans="2:16">
      <c r="B198" s="53"/>
      <c r="C198" s="65"/>
      <c r="F198" s="100" t="str">
        <f>F118</f>
        <v>Utilizing Actual / Projected Cost Data for the 2022 Rate Year</v>
      </c>
      <c r="M198" s="276"/>
      <c r="N198" s="276"/>
    </row>
    <row r="199" spans="2:16">
      <c r="B199" s="64"/>
      <c r="C199" s="65"/>
      <c r="E199" s="100"/>
      <c r="F199" s="100"/>
      <c r="G199" s="100"/>
      <c r="H199" s="100"/>
      <c r="I199" s="100"/>
      <c r="J199" s="100"/>
      <c r="K199" s="100"/>
      <c r="M199" s="276"/>
      <c r="N199" s="276"/>
    </row>
    <row r="200" spans="2:16">
      <c r="B200" s="64"/>
      <c r="C200" s="65"/>
      <c r="E200" s="57"/>
      <c r="F200" s="100" t="str">
        <f>F120</f>
        <v>AEP SOUTHWESTERN TRANSMISSION COMPANY</v>
      </c>
      <c r="G200" s="57"/>
      <c r="H200" s="57"/>
      <c r="I200" s="57"/>
      <c r="J200" s="57"/>
      <c r="K200" s="57"/>
      <c r="L200" s="57"/>
      <c r="M200" s="276"/>
      <c r="N200" s="276"/>
    </row>
    <row r="201" spans="2:16">
      <c r="B201" s="64"/>
      <c r="C201" s="65"/>
      <c r="E201" s="57"/>
      <c r="F201" s="100"/>
      <c r="G201" s="296"/>
      <c r="H201" s="57"/>
      <c r="I201" s="57"/>
      <c r="J201" s="57"/>
      <c r="K201" s="57"/>
      <c r="L201" s="296"/>
      <c r="M201" s="276"/>
      <c r="N201" s="276"/>
    </row>
    <row r="202" spans="2:16" ht="15.75">
      <c r="B202" s="64"/>
      <c r="C202" s="65"/>
      <c r="F202" s="71" t="s">
        <v>215</v>
      </c>
      <c r="H202" s="60"/>
      <c r="I202" s="60"/>
      <c r="J202" s="60"/>
      <c r="K202" s="60"/>
      <c r="L202" s="60"/>
      <c r="M202" s="276"/>
      <c r="N202" s="276"/>
    </row>
    <row r="203" spans="2:16" ht="15.75">
      <c r="B203" s="64"/>
      <c r="C203" s="65"/>
      <c r="D203" s="374"/>
      <c r="E203" s="60"/>
      <c r="F203" s="60"/>
      <c r="G203" s="60"/>
      <c r="H203" s="60"/>
      <c r="I203" s="60"/>
      <c r="J203" s="60"/>
      <c r="K203" s="60"/>
      <c r="L203" s="60"/>
      <c r="M203" s="276"/>
      <c r="N203" s="276"/>
    </row>
    <row r="204" spans="2:16" ht="15.75">
      <c r="B204" s="64" t="s">
        <v>253</v>
      </c>
      <c r="C204" s="65"/>
      <c r="D204" s="374"/>
      <c r="E204" s="60"/>
      <c r="F204" s="60"/>
      <c r="G204" s="60"/>
      <c r="H204" s="60"/>
      <c r="I204" s="60"/>
      <c r="J204" s="60"/>
      <c r="K204" s="60"/>
      <c r="L204" s="60"/>
      <c r="M204" s="276"/>
      <c r="N204" s="276"/>
    </row>
    <row r="205" spans="2:16" ht="15.75" thickBot="1">
      <c r="B205" s="73" t="s">
        <v>254</v>
      </c>
      <c r="C205" s="74"/>
      <c r="D205" s="57" t="s">
        <v>910</v>
      </c>
      <c r="E205" s="60"/>
      <c r="F205" s="60"/>
      <c r="G205" s="60"/>
      <c r="H205" s="60"/>
      <c r="I205" s="60"/>
      <c r="J205" s="60"/>
      <c r="M205" s="276"/>
      <c r="N205" s="276"/>
      <c r="P205" s="276"/>
    </row>
    <row r="206" spans="2:16">
      <c r="B206" s="64">
        <f>+B193+1</f>
        <v>118</v>
      </c>
      <c r="C206" s="65"/>
      <c r="D206" s="60" t="s">
        <v>302</v>
      </c>
      <c r="E206" s="375" t="str">
        <f>"(ln "&amp;B56&amp;")"</f>
        <v>(ln 16)</v>
      </c>
      <c r="F206" s="83"/>
      <c r="H206" s="350"/>
      <c r="I206" s="350"/>
      <c r="J206" s="350"/>
      <c r="K206" s="350"/>
      <c r="L206" s="286">
        <f>+G56</f>
        <v>7.6923076923076925E-7</v>
      </c>
      <c r="M206" s="276"/>
      <c r="N206" s="276"/>
      <c r="P206" s="276"/>
    </row>
    <row r="207" spans="2:16">
      <c r="B207" s="64">
        <f>+B206+1</f>
        <v>119</v>
      </c>
      <c r="C207" s="65"/>
      <c r="D207" s="376" t="str">
        <f>"  Less transmission plant excluded from SPP Tariff  (Worksheet A-1, ln "&amp;'SWT WS A-1 - Plant'!A44&amp;" Col. (F))  (Note Q)"</f>
        <v xml:space="preserve">  Less transmission plant excluded from SPP Tariff  (Worksheet A-1, ln 28 Col. (F))  (Note Q)</v>
      </c>
      <c r="E207" s="82"/>
      <c r="F207" s="82"/>
      <c r="G207" s="377"/>
      <c r="H207" s="82"/>
      <c r="I207" s="82"/>
      <c r="J207" s="82"/>
      <c r="K207" s="82"/>
      <c r="L207" s="302">
        <f>+'SWT WS A-1 - Plant'!G44</f>
        <v>0</v>
      </c>
      <c r="M207" s="276"/>
      <c r="N207" s="276"/>
      <c r="P207" s="276"/>
    </row>
    <row r="208" spans="2:16" ht="15.75" thickBot="1">
      <c r="B208" s="64">
        <f>+B207+1</f>
        <v>120</v>
      </c>
      <c r="C208" s="65"/>
      <c r="D208" s="83" t="str">
        <f>"  Less transmission plant included in OATT Ancillary Services (Worksheet A-1, ln "&amp;'SWT WS A-1 - Plant'!A44&amp;", Col. (E))  (Note R)"</f>
        <v xml:space="preserve">  Less transmission plant included in OATT Ancillary Services (Worksheet A-1, ln 28, Col. (E))  (Note R)</v>
      </c>
      <c r="E208" s="83"/>
      <c r="F208" s="83"/>
      <c r="G208" s="313"/>
      <c r="H208" s="350"/>
      <c r="I208" s="350"/>
      <c r="J208" s="313"/>
      <c r="K208" s="350"/>
      <c r="L208" s="378">
        <f>+'SWT WS A-1 - Plant'!F44</f>
        <v>0</v>
      </c>
      <c r="M208" s="276"/>
      <c r="N208" s="276"/>
      <c r="P208" s="276"/>
    </row>
    <row r="209" spans="2:16">
      <c r="B209" s="64">
        <f>+B208+1</f>
        <v>121</v>
      </c>
      <c r="C209" s="65"/>
      <c r="D209" s="60" t="s">
        <v>85</v>
      </c>
      <c r="E209" s="379" t="str">
        <f>"(ln "&amp;B206&amp;" - ln "&amp;B207&amp;" - ln "&amp;B208&amp;")"</f>
        <v>(ln 118 - ln 119 - ln 120)</v>
      </c>
      <c r="F209" s="83"/>
      <c r="H209" s="350"/>
      <c r="I209" s="350"/>
      <c r="J209" s="313"/>
      <c r="K209" s="350"/>
      <c r="L209" s="286">
        <f>L206-L207-L208</f>
        <v>7.6923076923076925E-7</v>
      </c>
      <c r="M209" s="276"/>
      <c r="N209" s="276"/>
      <c r="P209" s="276"/>
    </row>
    <row r="210" spans="2:16">
      <c r="B210" s="64"/>
      <c r="C210" s="65"/>
      <c r="E210" s="83"/>
      <c r="F210" s="83"/>
      <c r="G210" s="313"/>
      <c r="H210" s="350"/>
      <c r="I210" s="350"/>
      <c r="J210" s="313"/>
      <c r="K210" s="350"/>
      <c r="L210" s="82"/>
      <c r="M210" s="276"/>
      <c r="N210" s="276"/>
      <c r="P210" s="276"/>
    </row>
    <row r="211" spans="2:16" ht="15.75">
      <c r="B211" s="64">
        <f>+B209+1</f>
        <v>122</v>
      </c>
      <c r="C211" s="65"/>
      <c r="D211" s="60" t="s">
        <v>86</v>
      </c>
      <c r="E211" s="373" t="str">
        <f>"(ln "&amp;B209&amp;" / ln "&amp;B206&amp;")"</f>
        <v>(ln 121 / ln 118)</v>
      </c>
      <c r="F211" s="380"/>
      <c r="H211" s="381"/>
      <c r="I211" s="382"/>
      <c r="J211" s="382"/>
      <c r="K211" s="383" t="s">
        <v>279</v>
      </c>
      <c r="L211" s="384">
        <f>IF(L206&gt;0,L209/L206,0)</f>
        <v>1</v>
      </c>
      <c r="M211" s="276"/>
      <c r="N211" s="276"/>
      <c r="P211" s="276"/>
    </row>
    <row r="212" spans="2:16" ht="15.75">
      <c r="B212" s="64"/>
      <c r="C212" s="65"/>
      <c r="D212" s="374"/>
      <c r="E212" s="60"/>
      <c r="F212" s="60"/>
      <c r="G212" s="281"/>
      <c r="H212" s="60"/>
      <c r="I212" s="65"/>
      <c r="J212" s="60"/>
      <c r="K212" s="60"/>
      <c r="L212" s="60"/>
      <c r="M212" s="276"/>
      <c r="N212" s="276"/>
    </row>
    <row r="213" spans="2:16" ht="30">
      <c r="B213" s="64">
        <f>B211+1</f>
        <v>123</v>
      </c>
      <c r="C213" s="65"/>
      <c r="D213" s="57" t="s">
        <v>216</v>
      </c>
      <c r="E213" s="287" t="s">
        <v>56</v>
      </c>
      <c r="F213" s="287" t="s">
        <v>318</v>
      </c>
      <c r="G213" s="385" t="s">
        <v>350</v>
      </c>
      <c r="H213" s="100" t="s">
        <v>255</v>
      </c>
      <c r="I213" s="287"/>
      <c r="J213" s="61"/>
      <c r="K213" s="61"/>
      <c r="L213" s="61"/>
      <c r="M213" s="276"/>
      <c r="N213" s="276"/>
    </row>
    <row r="214" spans="2:16">
      <c r="B214" s="64">
        <f t="shared" ref="B214:B219" si="11">+B213+1</f>
        <v>124</v>
      </c>
      <c r="C214" s="65"/>
      <c r="D214" s="57" t="s">
        <v>263</v>
      </c>
      <c r="E214" s="61" t="s">
        <v>59</v>
      </c>
      <c r="F214" s="405">
        <v>0</v>
      </c>
      <c r="G214" s="405"/>
      <c r="H214" s="302">
        <f>+F214+G214</f>
        <v>0</v>
      </c>
      <c r="I214" s="287" t="s">
        <v>264</v>
      </c>
      <c r="J214" s="288">
        <v>0</v>
      </c>
      <c r="K214" s="386"/>
      <c r="L214" s="296">
        <f>(F214+G214)*J214</f>
        <v>0</v>
      </c>
      <c r="M214" s="276"/>
      <c r="N214" s="276"/>
    </row>
    <row r="215" spans="2:16">
      <c r="B215" s="64">
        <f>+B214+1</f>
        <v>125</v>
      </c>
      <c r="C215" s="65"/>
      <c r="D215" s="314" t="s">
        <v>265</v>
      </c>
      <c r="E215" s="61" t="s">
        <v>144</v>
      </c>
      <c r="F215" s="405">
        <v>0</v>
      </c>
      <c r="G215" s="405">
        <v>1839.1657053825729</v>
      </c>
      <c r="H215" s="302">
        <f>+F215+G215</f>
        <v>1839.1657053825729</v>
      </c>
      <c r="I215" s="65" t="s">
        <v>257</v>
      </c>
      <c r="J215" s="288">
        <f>+L211</f>
        <v>1</v>
      </c>
      <c r="L215" s="286">
        <f>(F215+G215)*J215</f>
        <v>1839.1657053825729</v>
      </c>
      <c r="M215" s="276"/>
      <c r="N215" s="276"/>
    </row>
    <row r="216" spans="2:16">
      <c r="B216" s="64">
        <f>+B215+1</f>
        <v>126</v>
      </c>
      <c r="C216" s="65"/>
      <c r="D216" s="314" t="s">
        <v>142</v>
      </c>
      <c r="E216" s="61" t="s">
        <v>143</v>
      </c>
      <c r="F216" s="405">
        <v>0</v>
      </c>
      <c r="G216" s="405"/>
      <c r="H216" s="302">
        <f>+F216+G216</f>
        <v>0</v>
      </c>
      <c r="I216" s="287" t="s">
        <v>264</v>
      </c>
      <c r="J216" s="288">
        <v>0</v>
      </c>
      <c r="K216" s="386"/>
      <c r="L216" s="296">
        <f>(F216+G216)*J216</f>
        <v>0</v>
      </c>
      <c r="M216" s="276"/>
      <c r="N216" s="276"/>
    </row>
    <row r="217" spans="2:16">
      <c r="B217" s="64">
        <f t="shared" si="11"/>
        <v>127</v>
      </c>
      <c r="C217" s="65"/>
      <c r="D217" s="314" t="s">
        <v>267</v>
      </c>
      <c r="E217" s="61" t="s">
        <v>57</v>
      </c>
      <c r="F217" s="405">
        <v>0</v>
      </c>
      <c r="G217" s="405"/>
      <c r="H217" s="302">
        <f>+F217+G217</f>
        <v>0</v>
      </c>
      <c r="I217" s="287" t="s">
        <v>264</v>
      </c>
      <c r="J217" s="288">
        <v>0</v>
      </c>
      <c r="K217" s="386"/>
      <c r="L217" s="296">
        <f>(F217+G217)*J217</f>
        <v>0</v>
      </c>
      <c r="M217" s="276"/>
      <c r="N217" s="276"/>
    </row>
    <row r="218" spans="2:16" ht="15.75" thickBot="1">
      <c r="B218" s="64">
        <f t="shared" si="11"/>
        <v>128</v>
      </c>
      <c r="C218" s="65"/>
      <c r="D218" s="314" t="s">
        <v>333</v>
      </c>
      <c r="E218" s="387" t="s">
        <v>58</v>
      </c>
      <c r="F218" s="405">
        <v>0</v>
      </c>
      <c r="G218" s="405"/>
      <c r="H218" s="378">
        <f>+F218+G218</f>
        <v>0</v>
      </c>
      <c r="I218" s="287" t="s">
        <v>264</v>
      </c>
      <c r="J218" s="288">
        <v>0</v>
      </c>
      <c r="K218" s="386"/>
      <c r="L218" s="322">
        <f>(F218+G218)*J218</f>
        <v>0</v>
      </c>
      <c r="M218" s="276"/>
      <c r="N218" s="276"/>
    </row>
    <row r="219" spans="2:16">
      <c r="B219" s="64">
        <f t="shared" si="11"/>
        <v>129</v>
      </c>
      <c r="C219" s="65"/>
      <c r="D219" s="314" t="s">
        <v>255</v>
      </c>
      <c r="E219" s="314" t="str">
        <f>"(sum lns "&amp;B214&amp;" to "&amp;B218&amp;")"</f>
        <v>(sum lns 124 to 128)</v>
      </c>
      <c r="F219" s="348">
        <f>SUM(F214:F218)</f>
        <v>0</v>
      </c>
      <c r="G219" s="348">
        <f>SUM(G214:G218)</f>
        <v>1839.1657053825729</v>
      </c>
      <c r="H219" s="61">
        <f>SUM(H214:H218)</f>
        <v>1839.1657053825729</v>
      </c>
      <c r="I219" s="287"/>
      <c r="J219" s="61"/>
      <c r="K219" s="61"/>
      <c r="L219" s="296">
        <f>SUM(L214:L218)</f>
        <v>1839.1657053825729</v>
      </c>
      <c r="M219" s="276"/>
      <c r="N219" s="276"/>
    </row>
    <row r="220" spans="2:16">
      <c r="B220" s="64"/>
      <c r="C220" s="65"/>
      <c r="D220" s="314" t="s">
        <v>251</v>
      </c>
      <c r="E220" s="61" t="s">
        <v>251</v>
      </c>
      <c r="F220" s="61"/>
      <c r="H220" s="61"/>
      <c r="I220" s="100"/>
      <c r="M220" s="276"/>
      <c r="N220" s="276"/>
    </row>
    <row r="221" spans="2:16" ht="15.75">
      <c r="B221" s="64">
        <f>B219+1</f>
        <v>130</v>
      </c>
      <c r="C221" s="65"/>
      <c r="D221" s="314" t="s">
        <v>217</v>
      </c>
      <c r="E221" s="61"/>
      <c r="F221" s="61"/>
      <c r="G221" s="61"/>
      <c r="H221" s="61"/>
      <c r="I221" s="100"/>
      <c r="K221" s="327" t="s">
        <v>218</v>
      </c>
      <c r="L221" s="324">
        <f>IF(H219&lt;&gt;0,L219/(F219+G219),0)</f>
        <v>1</v>
      </c>
      <c r="M221" s="276"/>
      <c r="N221" s="276"/>
    </row>
    <row r="222" spans="2:16">
      <c r="B222" s="64"/>
      <c r="C222" s="65"/>
      <c r="D222" s="314"/>
      <c r="E222" s="61"/>
      <c r="F222" s="61"/>
      <c r="G222" s="61"/>
      <c r="H222" s="61"/>
      <c r="I222" s="287"/>
      <c r="J222" s="61"/>
      <c r="K222" s="61"/>
      <c r="L222" s="61"/>
      <c r="M222" s="276"/>
      <c r="N222" s="276"/>
    </row>
    <row r="223" spans="2:16" ht="17.25">
      <c r="B223" s="64"/>
      <c r="C223" s="65"/>
      <c r="D223" s="388" t="s">
        <v>924</v>
      </c>
      <c r="E223" s="373"/>
      <c r="F223" s="61"/>
      <c r="H223" s="61"/>
      <c r="I223" s="61"/>
      <c r="J223" s="61"/>
      <c r="K223" s="311"/>
      <c r="L223" s="389"/>
      <c r="M223" s="276"/>
      <c r="N223" s="276"/>
    </row>
    <row r="224" spans="2:16" ht="15.75" thickBot="1">
      <c r="B224" s="64">
        <f>+B221+1</f>
        <v>131</v>
      </c>
      <c r="C224" s="65"/>
      <c r="D224" s="314" t="s">
        <v>925</v>
      </c>
      <c r="E224" s="61"/>
      <c r="F224" s="61"/>
      <c r="G224" s="61"/>
      <c r="H224" s="61"/>
      <c r="I224" s="61"/>
      <c r="J224" s="61"/>
      <c r="K224" s="61"/>
      <c r="L224" s="390" t="s">
        <v>280</v>
      </c>
      <c r="M224" s="276"/>
      <c r="N224" s="276"/>
    </row>
    <row r="225" spans="2:21">
      <c r="B225" s="64">
        <f t="shared" ref="B225:B232" si="12">+B224+1</f>
        <v>132</v>
      </c>
      <c r="C225" s="65"/>
      <c r="D225" s="61" t="s">
        <v>353</v>
      </c>
      <c r="E225" s="53" t="str">
        <f>"Long Term Interest (Worksheet M, ln. "&amp;'SWT WS M - Cost of Capital'!A58&amp;", col. "&amp;'SWT WS M - Cost of Capital'!E48&amp;")"</f>
        <v>Long Term Interest (Worksheet M, ln. 37, col. (d))</v>
      </c>
      <c r="F225" s="61"/>
      <c r="G225" s="61"/>
      <c r="H225" s="61"/>
      <c r="I225" s="61"/>
      <c r="J225" s="61"/>
      <c r="K225" s="61"/>
      <c r="L225" s="296">
        <f>+'SWT WS M - Cost of Capital'!E58</f>
        <v>-837.18242119230763</v>
      </c>
      <c r="M225" s="276"/>
      <c r="N225" s="276"/>
    </row>
    <row r="226" spans="2:21">
      <c r="B226" s="64">
        <f t="shared" si="12"/>
        <v>133</v>
      </c>
      <c r="C226" s="65"/>
      <c r="D226" s="61" t="s">
        <v>354</v>
      </c>
      <c r="E226" s="53" t="str">
        <f>"Preferred Stock Dividends (Worksheet M, ln. "&amp;'SWT WS M - Cost of Capital'!A87&amp;", col. "&amp;'SWT WS M - Cost of Capital'!E48&amp;")"</f>
        <v>Preferred Stock Dividends (Worksheet M, ln. 57, col. (d))</v>
      </c>
      <c r="F226" s="61"/>
      <c r="G226" s="61"/>
      <c r="H226" s="61"/>
      <c r="I226" s="61"/>
      <c r="J226" s="61"/>
      <c r="K226" s="61"/>
      <c r="L226" s="296">
        <f>+'SWT WS M - Cost of Capital'!E87</f>
        <v>0</v>
      </c>
      <c r="M226" s="276"/>
      <c r="N226" s="276"/>
    </row>
    <row r="227" spans="2:21" ht="15.75" thickBot="1">
      <c r="B227" s="64">
        <f t="shared" si="12"/>
        <v>134</v>
      </c>
      <c r="C227" s="65"/>
      <c r="D227" s="391" t="s">
        <v>360</v>
      </c>
      <c r="E227" s="61"/>
      <c r="F227" s="61"/>
      <c r="G227" s="61"/>
      <c r="H227" s="276"/>
      <c r="I227" s="276"/>
      <c r="J227" s="276"/>
      <c r="K227" s="61"/>
      <c r="L227" s="392" t="s">
        <v>177</v>
      </c>
      <c r="M227" s="276"/>
      <c r="N227" s="276"/>
    </row>
    <row r="228" spans="2:21">
      <c r="B228" s="64">
        <f t="shared" si="12"/>
        <v>135</v>
      </c>
      <c r="C228" s="65"/>
      <c r="D228" s="61" t="s">
        <v>361</v>
      </c>
      <c r="E228" s="53" t="str">
        <f>"(Worksheet M, ln. "&amp;'SWT WS M - Cost of Capital'!A24&amp;", col. "&amp;'SWT WS M - Cost of Capital'!C9&amp;")"</f>
        <v>(Worksheet M, ln. 14, col. (b))</v>
      </c>
      <c r="F228" s="61"/>
      <c r="G228" s="60"/>
      <c r="H228" s="276"/>
      <c r="I228" s="276"/>
      <c r="J228" s="276"/>
      <c r="K228" s="61"/>
      <c r="L228" s="302">
        <f>+'SWT WS M - Cost of Capital'!C24</f>
        <v>-1674364.8423846152</v>
      </c>
      <c r="M228" s="276"/>
      <c r="N228" s="276"/>
    </row>
    <row r="229" spans="2:21">
      <c r="B229" s="64">
        <f t="shared" si="12"/>
        <v>136</v>
      </c>
      <c r="C229" s="65"/>
      <c r="D229" s="61" t="str">
        <f>"Less Preferred Stock (ln "&amp;B236&amp;")"</f>
        <v>Less Preferred Stock (ln 142)</v>
      </c>
      <c r="E229" s="53" t="str">
        <f>"(Worksheet M, ln. "&amp;'SWT WS M - Cost of Capital'!A24&amp;", col. "&amp;'SWT WS M - Cost of Capital'!D9&amp;")"</f>
        <v>(Worksheet M, ln. 14, col. (c))</v>
      </c>
      <c r="F229" s="61"/>
      <c r="G229" s="61"/>
      <c r="H229" s="276"/>
      <c r="I229" s="276"/>
      <c r="J229" s="276"/>
      <c r="K229" s="61"/>
      <c r="L229" s="302">
        <f>+'SWT WS M - Cost of Capital'!D24</f>
        <v>0</v>
      </c>
      <c r="M229" s="276"/>
      <c r="N229" s="276"/>
    </row>
    <row r="230" spans="2:21">
      <c r="B230" s="64">
        <f t="shared" si="12"/>
        <v>137</v>
      </c>
      <c r="C230" s="65"/>
      <c r="D230" s="61" t="s">
        <v>52</v>
      </c>
      <c r="E230" s="53" t="str">
        <f>"(Worksheet M, ln. "&amp;'SWT WS M - Cost of Capital'!A24&amp;", col. "&amp;'SWT WS M - Cost of Capital'!E9&amp;")"</f>
        <v>(Worksheet M, ln. 14, col. (d))</v>
      </c>
      <c r="F230" s="61"/>
      <c r="G230" s="61"/>
      <c r="H230" s="276"/>
      <c r="I230" s="276"/>
      <c r="J230" s="276"/>
      <c r="K230" s="61"/>
      <c r="L230" s="302">
        <f>+'SWT WS M - Cost of Capital'!E24</f>
        <v>0</v>
      </c>
      <c r="M230" s="276"/>
      <c r="N230" s="276"/>
    </row>
    <row r="231" spans="2:21" ht="15.75" thickBot="1">
      <c r="B231" s="64">
        <f t="shared" si="12"/>
        <v>138</v>
      </c>
      <c r="C231" s="65"/>
      <c r="D231" s="61" t="s">
        <v>362</v>
      </c>
      <c r="E231" s="53" t="str">
        <f>"(Worksheet M, ln. "&amp;'SWT WS M - Cost of Capital'!A24&amp;", col. "&amp;'SWT WS M - Cost of Capital'!F9&amp;")"</f>
        <v>(Worksheet M, ln. 14, col. (e))</v>
      </c>
      <c r="F231" s="61"/>
      <c r="G231" s="61"/>
      <c r="H231" s="276"/>
      <c r="I231" s="276"/>
      <c r="J231" s="276"/>
      <c r="K231" s="61"/>
      <c r="L231" s="378">
        <f>+'SWT WS M - Cost of Capital'!F24</f>
        <v>0</v>
      </c>
      <c r="M231" s="276"/>
      <c r="N231" s="276"/>
    </row>
    <row r="232" spans="2:21">
      <c r="B232" s="64">
        <f t="shared" si="12"/>
        <v>139</v>
      </c>
      <c r="C232" s="65"/>
      <c r="D232" s="53" t="s">
        <v>363</v>
      </c>
      <c r="E232" s="61" t="str">
        <f>"(ln "&amp;B228&amp;" - ln "&amp;B229&amp;" - ln "&amp;B230&amp;" - ln "&amp;B231&amp;")"</f>
        <v>(ln 135 - ln 136 - ln 137 - ln 138)</v>
      </c>
      <c r="F232" s="282"/>
      <c r="H232" s="60"/>
      <c r="I232" s="60"/>
      <c r="J232" s="60"/>
      <c r="K232" s="60"/>
      <c r="L232" s="286">
        <f>+L228-L229-L230-L231</f>
        <v>-1674364.8423846152</v>
      </c>
      <c r="M232" s="276"/>
      <c r="N232" s="276"/>
    </row>
    <row r="233" spans="2:21" ht="52.5" customHeight="1">
      <c r="B233" s="64"/>
      <c r="C233" s="65"/>
      <c r="D233" s="314"/>
      <c r="E233" s="61"/>
      <c r="F233" s="61"/>
      <c r="G233" s="393" t="s">
        <v>417</v>
      </c>
      <c r="H233" s="394"/>
      <c r="I233" s="61"/>
      <c r="J233" s="287" t="s">
        <v>281</v>
      </c>
      <c r="K233" s="61"/>
      <c r="L233" s="61"/>
      <c r="M233" s="276"/>
      <c r="N233" s="276"/>
    </row>
    <row r="234" spans="2:21" ht="15.75" thickBot="1">
      <c r="B234" s="64">
        <f>+B232+1</f>
        <v>140</v>
      </c>
      <c r="C234" s="65"/>
      <c r="D234" s="314"/>
      <c r="E234" s="279" t="s">
        <v>416</v>
      </c>
      <c r="G234" s="395"/>
      <c r="H234" s="394"/>
      <c r="I234" s="61"/>
      <c r="J234" s="279" t="s">
        <v>408</v>
      </c>
      <c r="K234" s="61"/>
      <c r="L234" s="279" t="s">
        <v>283</v>
      </c>
      <c r="M234" s="276"/>
      <c r="N234" s="276"/>
      <c r="O234" s="57"/>
      <c r="P234" s="57"/>
      <c r="Q234" s="57"/>
      <c r="R234" s="57"/>
      <c r="S234" s="57"/>
      <c r="T234" s="57"/>
      <c r="U234" s="57"/>
    </row>
    <row r="235" spans="2:21">
      <c r="B235" s="64">
        <f>+B234+1</f>
        <v>141</v>
      </c>
      <c r="C235" s="65"/>
      <c r="D235" s="61" t="str">
        <f>"Avg Long Term Debt (Worksheet M, ln. "&amp;'SWT WS M - Cost of Capital'!A43&amp;", col. (g))"</f>
        <v>Avg Long Term Debt (Worksheet M, ln. 28, col. (g))</v>
      </c>
      <c r="E235" s="296">
        <f>+'SWT WS M - Cost of Capital'!H43</f>
        <v>0</v>
      </c>
      <c r="G235" s="299">
        <f>IF($E$238&gt;0,E235/$E$238,0)</f>
        <v>0</v>
      </c>
      <c r="H235" s="394"/>
      <c r="I235" s="396"/>
      <c r="J235" s="301">
        <f>+'SWT WS M - Cost of Capital'!E60</f>
        <v>0</v>
      </c>
      <c r="L235" s="397">
        <f>J235*G235</f>
        <v>0</v>
      </c>
      <c r="M235" s="276"/>
      <c r="N235" s="276"/>
      <c r="O235" s="57"/>
      <c r="P235" s="57"/>
      <c r="Q235" s="57"/>
      <c r="R235" s="57"/>
      <c r="S235" s="57"/>
      <c r="T235" s="57"/>
      <c r="U235" s="57"/>
    </row>
    <row r="236" spans="2:21">
      <c r="B236" s="64">
        <f>+B235+1</f>
        <v>142</v>
      </c>
      <c r="C236" s="65"/>
      <c r="D236" s="61" t="str">
        <f>"Avg Preferred Stock (Worksheet M, ln. "&amp;'SWT WS M - Cost of Capital'!A24&amp;", col. "&amp;'SWT WS M - Cost of Capital'!D9&amp;")"</f>
        <v>Avg Preferred Stock (Worksheet M, ln. 14, col. (c))</v>
      </c>
      <c r="E236" s="296">
        <f>+'SWT WS M - Cost of Capital'!D24</f>
        <v>0</v>
      </c>
      <c r="G236" s="299">
        <f>IF($E$238&gt;0,E236/$E$238,0)</f>
        <v>0</v>
      </c>
      <c r="H236" s="394"/>
      <c r="I236" s="396"/>
      <c r="J236" s="301">
        <f>IF(E236&gt;0,L226/E236,0)</f>
        <v>0</v>
      </c>
      <c r="L236" s="397">
        <f>J236*G236</f>
        <v>0</v>
      </c>
      <c r="M236" s="276"/>
      <c r="N236" s="276"/>
      <c r="O236" s="57"/>
    </row>
    <row r="237" spans="2:21" ht="15.75" thickBot="1">
      <c r="B237" s="64">
        <f>+B236+1</f>
        <v>143</v>
      </c>
      <c r="C237" s="65"/>
      <c r="D237" s="314" t="str">
        <f>"Avg Common Stock (ln "&amp;B232&amp;")"</f>
        <v>Avg Common Stock (ln 139)</v>
      </c>
      <c r="E237" s="322">
        <f>+L232</f>
        <v>-1674364.8423846152</v>
      </c>
      <c r="G237" s="299">
        <f>IF($E$238&gt;0,E237/$E$238,0)</f>
        <v>0</v>
      </c>
      <c r="H237" s="394"/>
      <c r="I237" s="396"/>
      <c r="J237" s="398">
        <v>0.105</v>
      </c>
      <c r="L237" s="399">
        <f>J237*G237</f>
        <v>0</v>
      </c>
      <c r="M237" s="276"/>
      <c r="N237" s="276"/>
      <c r="O237" s="57"/>
    </row>
    <row r="238" spans="2:21" ht="15.75">
      <c r="B238" s="64">
        <f>+B237+1</f>
        <v>144</v>
      </c>
      <c r="C238" s="65"/>
      <c r="D238" s="314" t="str">
        <f>"  Total  (sum lns "&amp;B235&amp;" to "&amp;B237&amp;")"</f>
        <v xml:space="preserve">  Total  (sum lns 141 to 143)</v>
      </c>
      <c r="E238" s="296">
        <f>E237+E236+E235</f>
        <v>-1674364.8423846152</v>
      </c>
      <c r="G238" s="61" t="s">
        <v>251</v>
      </c>
      <c r="H238" s="394"/>
      <c r="I238" s="61"/>
      <c r="J238" s="276"/>
      <c r="K238" s="400" t="s">
        <v>205</v>
      </c>
      <c r="L238" s="401">
        <f>SUM(L235:L237)</f>
        <v>0</v>
      </c>
      <c r="M238" s="276"/>
      <c r="N238" s="276"/>
      <c r="P238" s="402"/>
    </row>
    <row r="239" spans="2:21">
      <c r="B239" s="403"/>
      <c r="C239" s="276"/>
      <c r="D239" s="276"/>
      <c r="E239" s="276"/>
      <c r="F239" s="276"/>
      <c r="G239" s="276"/>
      <c r="H239" s="276"/>
      <c r="I239" s="276"/>
      <c r="J239" s="404"/>
      <c r="K239" s="404"/>
      <c r="L239" s="404"/>
      <c r="M239" s="276"/>
      <c r="N239" s="276"/>
      <c r="O239" s="60"/>
      <c r="P239" s="60"/>
      <c r="Q239" s="60"/>
      <c r="R239" s="60"/>
      <c r="S239" s="60"/>
      <c r="T239" s="60"/>
      <c r="U239" s="60"/>
    </row>
    <row r="240" spans="2:21" ht="17.25">
      <c r="B240" s="64"/>
      <c r="C240" s="65"/>
      <c r="D240" s="388" t="s">
        <v>933</v>
      </c>
      <c r="E240" s="373"/>
      <c r="F240" s="61"/>
      <c r="H240" s="61"/>
      <c r="I240" s="61"/>
      <c r="J240" s="61"/>
      <c r="K240" s="311"/>
      <c r="L240" s="389"/>
      <c r="M240" s="276"/>
      <c r="N240" s="276"/>
    </row>
    <row r="241" spans="2:21" ht="15.75" thickBot="1">
      <c r="B241" s="64">
        <f>+B238+1</f>
        <v>145</v>
      </c>
      <c r="C241" s="65"/>
      <c r="D241" s="314" t="s">
        <v>925</v>
      </c>
      <c r="E241" s="61"/>
      <c r="F241" s="61"/>
      <c r="G241" s="61"/>
      <c r="H241" s="61"/>
      <c r="I241" s="61"/>
      <c r="J241" s="61"/>
      <c r="K241" s="61"/>
      <c r="L241" s="390" t="s">
        <v>280</v>
      </c>
      <c r="M241" s="276"/>
      <c r="N241" s="276"/>
    </row>
    <row r="242" spans="2:21">
      <c r="B242" s="64">
        <f t="shared" ref="B242:B249" si="13">+B241+1</f>
        <v>146</v>
      </c>
      <c r="C242" s="65"/>
      <c r="D242" s="61" t="s">
        <v>353</v>
      </c>
      <c r="E242" s="53" t="s">
        <v>938</v>
      </c>
      <c r="F242" s="61"/>
      <c r="G242" s="61"/>
      <c r="H242" s="61"/>
      <c r="I242" s="61"/>
      <c r="J242" s="61"/>
      <c r="K242" s="61"/>
      <c r="L242" s="405">
        <v>121586038.05</v>
      </c>
      <c r="M242" s="276"/>
      <c r="N242" s="276"/>
    </row>
    <row r="243" spans="2:21">
      <c r="B243" s="64">
        <f t="shared" si="13"/>
        <v>147</v>
      </c>
      <c r="C243" s="65"/>
      <c r="D243" s="61" t="s">
        <v>354</v>
      </c>
      <c r="E243" s="53" t="s">
        <v>939</v>
      </c>
      <c r="F243" s="61"/>
      <c r="G243" s="61"/>
      <c r="H243" s="61"/>
      <c r="I243" s="61"/>
      <c r="J243" s="61"/>
      <c r="K243" s="61"/>
      <c r="L243" s="406">
        <v>0</v>
      </c>
      <c r="M243" s="276"/>
      <c r="N243" s="276"/>
    </row>
    <row r="244" spans="2:21" ht="15.75" thickBot="1">
      <c r="B244" s="64">
        <f t="shared" si="13"/>
        <v>148</v>
      </c>
      <c r="C244" s="65"/>
      <c r="D244" s="391" t="s">
        <v>360</v>
      </c>
      <c r="E244" s="61"/>
      <c r="F244" s="61"/>
      <c r="G244" s="61"/>
      <c r="H244" s="276"/>
      <c r="I244" s="276"/>
      <c r="J244" s="276"/>
      <c r="K244" s="61"/>
      <c r="L244" s="279" t="s">
        <v>177</v>
      </c>
      <c r="M244" s="276"/>
      <c r="N244" s="276"/>
    </row>
    <row r="245" spans="2:21">
      <c r="B245" s="64">
        <f t="shared" si="13"/>
        <v>149</v>
      </c>
      <c r="C245" s="65"/>
      <c r="D245" s="61" t="s">
        <v>361</v>
      </c>
      <c r="E245" s="53" t="s">
        <v>934</v>
      </c>
      <c r="F245" s="61"/>
      <c r="G245" s="60"/>
      <c r="H245" s="276"/>
      <c r="I245" s="276"/>
      <c r="J245" s="276"/>
      <c r="K245" s="61"/>
      <c r="L245" s="405">
        <v>3527710669.3333845</v>
      </c>
      <c r="M245" s="276"/>
      <c r="N245" s="276"/>
    </row>
    <row r="246" spans="2:21">
      <c r="B246" s="64">
        <f t="shared" si="13"/>
        <v>150</v>
      </c>
      <c r="C246" s="65"/>
      <c r="D246" s="61" t="str">
        <f>"Less Preferred Stock (ln "&amp;B253&amp;")"</f>
        <v>Less Preferred Stock (ln 156)</v>
      </c>
      <c r="E246" s="53" t="s">
        <v>935</v>
      </c>
      <c r="F246" s="61"/>
      <c r="G246" s="61"/>
      <c r="H246" s="276"/>
      <c r="I246" s="276"/>
      <c r="J246" s="276"/>
      <c r="K246" s="61"/>
      <c r="L246" s="405">
        <v>0</v>
      </c>
      <c r="M246" s="276"/>
      <c r="N246" s="276"/>
    </row>
    <row r="247" spans="2:21">
      <c r="B247" s="64">
        <f t="shared" si="13"/>
        <v>151</v>
      </c>
      <c r="C247" s="65"/>
      <c r="D247" s="61" t="s">
        <v>52</v>
      </c>
      <c r="E247" s="53" t="s">
        <v>936</v>
      </c>
      <c r="F247" s="61"/>
      <c r="G247" s="61"/>
      <c r="H247" s="276"/>
      <c r="I247" s="276"/>
      <c r="J247" s="276"/>
      <c r="K247" s="61"/>
      <c r="L247" s="405">
        <v>44515648.480615377</v>
      </c>
      <c r="M247" s="276"/>
      <c r="N247" s="276"/>
    </row>
    <row r="248" spans="2:21" ht="15.75" thickBot="1">
      <c r="B248" s="64">
        <f t="shared" si="13"/>
        <v>152</v>
      </c>
      <c r="C248" s="65"/>
      <c r="D248" s="61" t="s">
        <v>362</v>
      </c>
      <c r="E248" s="53" t="s">
        <v>937</v>
      </c>
      <c r="F248" s="61"/>
      <c r="G248" s="61"/>
      <c r="H248" s="276"/>
      <c r="I248" s="276"/>
      <c r="J248" s="276"/>
      <c r="K248" s="61"/>
      <c r="L248" s="405">
        <v>5367993.9130769242</v>
      </c>
      <c r="M248" s="276"/>
      <c r="N248" s="276"/>
    </row>
    <row r="249" spans="2:21">
      <c r="B249" s="64">
        <f t="shared" si="13"/>
        <v>153</v>
      </c>
      <c r="C249" s="65"/>
      <c r="D249" s="53" t="s">
        <v>363</v>
      </c>
      <c r="E249" s="61" t="str">
        <f>"(ln "&amp;B245&amp;" - ln "&amp;B246&amp;" - ln "&amp;B247&amp;" - ln "&amp;B248&amp;")"</f>
        <v>(ln 149 - ln 150 - ln 151 - ln 152)</v>
      </c>
      <c r="F249" s="282"/>
      <c r="H249" s="60"/>
      <c r="I249" s="60"/>
      <c r="J249" s="60"/>
      <c r="K249" s="60"/>
      <c r="L249" s="407">
        <f>+L245-L246-L247-L248</f>
        <v>3477827026.939692</v>
      </c>
      <c r="M249" s="276"/>
      <c r="N249" s="276"/>
    </row>
    <row r="250" spans="2:21" ht="52.5" customHeight="1">
      <c r="B250" s="64"/>
      <c r="C250" s="65"/>
      <c r="D250" s="314"/>
      <c r="E250" s="61"/>
      <c r="F250" s="61"/>
      <c r="G250" s="393" t="s">
        <v>417</v>
      </c>
      <c r="H250" s="394"/>
      <c r="I250" s="61"/>
      <c r="J250" s="287" t="s">
        <v>281</v>
      </c>
      <c r="K250" s="61"/>
      <c r="L250" s="61"/>
      <c r="M250" s="276"/>
      <c r="N250" s="276"/>
    </row>
    <row r="251" spans="2:21" ht="15.75" thickBot="1">
      <c r="B251" s="64">
        <f>+B249+1</f>
        <v>154</v>
      </c>
      <c r="C251" s="65"/>
      <c r="D251" s="314"/>
      <c r="E251" s="279" t="s">
        <v>416</v>
      </c>
      <c r="G251" s="395"/>
      <c r="H251" s="394"/>
      <c r="I251" s="61"/>
      <c r="J251" s="279" t="s">
        <v>408</v>
      </c>
      <c r="K251" s="61"/>
      <c r="L251" s="279" t="s">
        <v>283</v>
      </c>
      <c r="M251" s="276"/>
      <c r="N251" s="276"/>
      <c r="O251" s="57"/>
      <c r="P251" s="57"/>
      <c r="Q251" s="57"/>
      <c r="R251" s="57"/>
      <c r="S251" s="57"/>
      <c r="T251" s="57"/>
      <c r="U251" s="57"/>
    </row>
    <row r="252" spans="2:21">
      <c r="B252" s="64">
        <f>+B251+1</f>
        <v>155</v>
      </c>
      <c r="C252" s="65"/>
      <c r="D252" s="61" t="s">
        <v>946</v>
      </c>
      <c r="E252" s="405">
        <v>3325000000</v>
      </c>
      <c r="G252" s="299">
        <f>IF($E$255&gt;0,E252/$E$255,0)</f>
        <v>0.48876738844494461</v>
      </c>
      <c r="H252" s="394"/>
      <c r="I252" s="396"/>
      <c r="J252" s="398">
        <v>3.6567229488721806E-2</v>
      </c>
      <c r="L252" s="397">
        <f>J252*G252</f>
        <v>1.7872869259869525E-2</v>
      </c>
      <c r="M252" s="276"/>
      <c r="N252" s="276"/>
      <c r="O252" s="57"/>
      <c r="P252" s="57"/>
      <c r="Q252" s="57"/>
      <c r="R252" s="57"/>
      <c r="S252" s="57"/>
      <c r="T252" s="57"/>
      <c r="U252" s="57"/>
    </row>
    <row r="253" spans="2:21">
      <c r="B253" s="64">
        <f>+B252+1</f>
        <v>156</v>
      </c>
      <c r="C253" s="65"/>
      <c r="D253" s="61" t="s">
        <v>947</v>
      </c>
      <c r="E253" s="406">
        <v>0</v>
      </c>
      <c r="G253" s="299">
        <f>IF($E$255&gt;0,E253/$E$255,0)</f>
        <v>0</v>
      </c>
      <c r="H253" s="394"/>
      <c r="I253" s="396"/>
      <c r="J253" s="398">
        <v>0</v>
      </c>
      <c r="L253" s="397">
        <f>J253*G253</f>
        <v>0</v>
      </c>
      <c r="M253" s="276"/>
      <c r="N253" s="276"/>
      <c r="O253" s="57"/>
    </row>
    <row r="254" spans="2:21" ht="15.75" thickBot="1">
      <c r="B254" s="64">
        <f>+B253+1</f>
        <v>157</v>
      </c>
      <c r="C254" s="65"/>
      <c r="D254" s="314" t="str">
        <f>"Avg Common Stock (ln "&amp;B249&amp;")"</f>
        <v>Avg Common Stock (ln 153)</v>
      </c>
      <c r="E254" s="322">
        <f>+L249</f>
        <v>3477827026.939692</v>
      </c>
      <c r="G254" s="299">
        <f>IF($E$255&gt;0,E254/$E$255,0)</f>
        <v>0.51123261155505539</v>
      </c>
      <c r="H254" s="394"/>
      <c r="I254" s="396"/>
      <c r="J254" s="398">
        <v>0.105</v>
      </c>
      <c r="L254" s="399">
        <f>J254*G254</f>
        <v>5.3679424213280813E-2</v>
      </c>
      <c r="M254" s="276"/>
      <c r="N254" s="276"/>
      <c r="O254" s="57"/>
    </row>
    <row r="255" spans="2:21" ht="15.75">
      <c r="B255" s="64">
        <f>+B254+1</f>
        <v>158</v>
      </c>
      <c r="C255" s="65"/>
      <c r="D255" s="314" t="str">
        <f>"  Total  (sum lns "&amp;B252&amp;" to "&amp;B254&amp;")"</f>
        <v xml:space="preserve">  Total  (sum lns 155 to 157)</v>
      </c>
      <c r="E255" s="296">
        <f>E254+E253+E252</f>
        <v>6802827026.9396915</v>
      </c>
      <c r="G255" s="61" t="s">
        <v>251</v>
      </c>
      <c r="H255" s="394"/>
      <c r="I255" s="61"/>
      <c r="J255" s="276"/>
      <c r="K255" s="400" t="s">
        <v>205</v>
      </c>
      <c r="L255" s="401">
        <f>SUM(L252:L254)</f>
        <v>7.1552293473150341E-2</v>
      </c>
      <c r="M255" s="276"/>
      <c r="N255" s="276"/>
      <c r="P255" s="402"/>
    </row>
    <row r="256" spans="2:21">
      <c r="B256" s="403"/>
      <c r="C256" s="276"/>
      <c r="D256" s="276"/>
      <c r="E256" s="276"/>
      <c r="F256" s="276"/>
      <c r="G256" s="276"/>
      <c r="H256" s="276"/>
      <c r="I256" s="276"/>
      <c r="J256" s="404"/>
      <c r="K256" s="404"/>
      <c r="L256" s="404"/>
      <c r="M256" s="276"/>
      <c r="N256" s="276"/>
      <c r="O256" s="60"/>
      <c r="P256" s="60"/>
      <c r="Q256" s="60"/>
      <c r="R256" s="60"/>
      <c r="S256" s="60"/>
      <c r="T256" s="60"/>
      <c r="U256" s="60"/>
    </row>
    <row r="257" spans="2:21">
      <c r="B257" s="403"/>
      <c r="C257" s="276"/>
      <c r="D257" s="276"/>
      <c r="E257" s="276"/>
      <c r="F257" s="276"/>
      <c r="G257" s="276"/>
      <c r="H257" s="276"/>
      <c r="I257" s="276"/>
      <c r="J257" s="404"/>
      <c r="K257" s="404"/>
      <c r="L257" s="404"/>
      <c r="M257" s="276"/>
      <c r="N257" s="276"/>
      <c r="O257" s="60"/>
      <c r="P257" s="60"/>
      <c r="Q257" s="60"/>
      <c r="R257" s="60"/>
      <c r="S257" s="60"/>
      <c r="T257" s="60"/>
      <c r="U257" s="60"/>
    </row>
    <row r="258" spans="2:21">
      <c r="B258" s="64"/>
      <c r="C258" s="276"/>
      <c r="D258" s="276"/>
      <c r="E258" s="276"/>
      <c r="F258" s="276"/>
      <c r="G258" s="276"/>
      <c r="H258" s="276"/>
      <c r="I258" s="276"/>
      <c r="J258" s="61"/>
      <c r="K258" s="60"/>
      <c r="L258" s="61"/>
      <c r="M258" s="276"/>
      <c r="N258" s="276"/>
      <c r="O258" s="60"/>
      <c r="P258" s="60"/>
      <c r="Q258" s="60"/>
      <c r="R258" s="60"/>
      <c r="S258" s="60"/>
      <c r="T258" s="60"/>
      <c r="U258" s="60"/>
    </row>
    <row r="259" spans="2:21" ht="15.75">
      <c r="B259" s="64"/>
      <c r="C259" s="65"/>
      <c r="D259" s="271"/>
      <c r="E259" s="271"/>
      <c r="F259" s="100" t="str">
        <f>F196</f>
        <v xml:space="preserve">AEP West SPP Member Transmission Companies </v>
      </c>
      <c r="G259" s="272"/>
      <c r="H259" s="61"/>
      <c r="I259" s="61"/>
      <c r="J259" s="61"/>
      <c r="K259" s="60"/>
      <c r="L259" s="61"/>
      <c r="M259" s="276"/>
      <c r="N259" s="276"/>
      <c r="O259" s="60"/>
      <c r="P259" s="60"/>
      <c r="Q259" s="60"/>
      <c r="R259" s="60"/>
      <c r="S259" s="60"/>
      <c r="T259" s="60"/>
      <c r="U259" s="60"/>
    </row>
    <row r="260" spans="2:21">
      <c r="B260" s="64"/>
      <c r="C260" s="65"/>
      <c r="D260" s="408"/>
      <c r="E260" s="65"/>
      <c r="F260" s="100" t="str">
        <f>F197</f>
        <v>Transmission Cost of Service Formula Rate</v>
      </c>
      <c r="G260" s="61"/>
      <c r="H260" s="61"/>
      <c r="I260" s="61"/>
      <c r="J260" s="61"/>
      <c r="K260" s="60"/>
      <c r="L260" s="81"/>
      <c r="M260" s="276"/>
      <c r="N260" s="276"/>
      <c r="O260" s="60"/>
      <c r="P260" s="60"/>
      <c r="Q260" s="60"/>
      <c r="R260" s="60"/>
      <c r="S260" s="60"/>
      <c r="T260" s="60"/>
      <c r="U260" s="60"/>
    </row>
    <row r="261" spans="2:21" ht="15.75">
      <c r="B261" s="64"/>
      <c r="C261" s="65"/>
      <c r="D261" s="408"/>
      <c r="E261" s="71"/>
      <c r="F261" s="100" t="str">
        <f>F198</f>
        <v>Utilizing Actual / Projected Cost Data for the 2022 Rate Year</v>
      </c>
      <c r="G261" s="61"/>
      <c r="H261" s="61"/>
      <c r="I261" s="61"/>
      <c r="J261" s="61"/>
      <c r="K261" s="60"/>
      <c r="L261" s="81"/>
      <c r="M261" s="276"/>
      <c r="N261" s="276"/>
      <c r="O261" s="60"/>
      <c r="P261" s="60"/>
      <c r="Q261" s="60"/>
      <c r="R261" s="60"/>
      <c r="S261" s="60"/>
      <c r="T261" s="60"/>
      <c r="U261" s="60"/>
    </row>
    <row r="262" spans="2:21" ht="15.75">
      <c r="B262" s="64"/>
      <c r="C262" s="65"/>
      <c r="D262" s="408"/>
      <c r="E262" s="71"/>
      <c r="F262" s="100"/>
      <c r="G262" s="61"/>
      <c r="H262" s="61"/>
      <c r="I262" s="61"/>
      <c r="J262" s="61"/>
      <c r="K262" s="60"/>
      <c r="L262" s="81"/>
      <c r="M262" s="276"/>
      <c r="N262" s="276"/>
      <c r="O262" s="60"/>
      <c r="P262" s="60"/>
      <c r="Q262" s="60"/>
      <c r="R262" s="60"/>
      <c r="S262" s="60"/>
      <c r="T262" s="60"/>
      <c r="U262" s="60"/>
    </row>
    <row r="263" spans="2:21" ht="15.75">
      <c r="B263" s="64"/>
      <c r="C263" s="65"/>
      <c r="D263" s="408"/>
      <c r="E263" s="71"/>
      <c r="F263" s="100" t="str">
        <f>F200</f>
        <v>AEP SOUTHWESTERN TRANSMISSION COMPANY</v>
      </c>
      <c r="G263" s="61"/>
      <c r="H263" s="61"/>
      <c r="I263" s="61"/>
      <c r="J263" s="61"/>
      <c r="K263" s="60"/>
      <c r="L263" s="81"/>
      <c r="M263" s="276"/>
      <c r="N263" s="276"/>
      <c r="O263" s="60"/>
      <c r="P263" s="60"/>
      <c r="Q263" s="60"/>
      <c r="R263" s="60"/>
      <c r="S263" s="60"/>
      <c r="T263" s="60"/>
      <c r="U263" s="60"/>
    </row>
    <row r="264" spans="2:21" ht="15.75">
      <c r="B264" s="64"/>
      <c r="C264" s="65"/>
      <c r="D264" s="408"/>
      <c r="E264" s="71"/>
      <c r="F264" s="100"/>
      <c r="G264" s="61"/>
      <c r="H264" s="61"/>
      <c r="I264" s="61"/>
      <c r="J264" s="61"/>
      <c r="K264" s="60"/>
      <c r="L264" s="81"/>
      <c r="M264" s="276"/>
      <c r="N264" s="276"/>
      <c r="O264" s="60"/>
      <c r="P264" s="60"/>
      <c r="Q264" s="60"/>
      <c r="R264" s="60"/>
      <c r="S264" s="60"/>
      <c r="T264" s="60"/>
      <c r="U264" s="60"/>
    </row>
    <row r="265" spans="2:21" ht="15.75">
      <c r="B265" s="409" t="s">
        <v>312</v>
      </c>
      <c r="C265" s="74"/>
      <c r="D265" s="57"/>
      <c r="E265" s="60"/>
      <c r="F265" s="409" t="s">
        <v>311</v>
      </c>
      <c r="G265" s="61"/>
      <c r="H265" s="61"/>
      <c r="I265" s="61"/>
      <c r="J265" s="61"/>
      <c r="K265" s="60"/>
      <c r="L265" s="61"/>
      <c r="M265" s="276"/>
      <c r="N265" s="276"/>
      <c r="O265" s="60"/>
      <c r="P265" s="60"/>
      <c r="Q265" s="60"/>
      <c r="R265" s="60"/>
      <c r="S265" s="60"/>
      <c r="T265" s="60"/>
      <c r="U265" s="60"/>
    </row>
    <row r="266" spans="2:21">
      <c r="C266" s="74"/>
      <c r="D266" s="53" t="s">
        <v>650</v>
      </c>
      <c r="L266" s="81"/>
      <c r="M266" s="276"/>
      <c r="N266" s="276"/>
      <c r="O266" s="60"/>
      <c r="P266" s="60"/>
      <c r="Q266" s="60"/>
      <c r="R266" s="60"/>
      <c r="S266" s="60"/>
      <c r="T266" s="60"/>
      <c r="U266" s="60"/>
    </row>
    <row r="267" spans="2:21">
      <c r="B267" s="53"/>
      <c r="D267" s="57"/>
      <c r="E267" s="60"/>
      <c r="F267" s="60"/>
      <c r="G267" s="61"/>
      <c r="H267" s="61"/>
      <c r="I267" s="61"/>
      <c r="J267" s="339"/>
      <c r="K267" s="276"/>
      <c r="L267" s="276"/>
      <c r="M267" s="276"/>
      <c r="N267" s="276"/>
      <c r="O267" s="60"/>
      <c r="P267" s="60"/>
      <c r="Q267" s="60"/>
      <c r="R267" s="60"/>
      <c r="S267" s="60"/>
      <c r="T267" s="60"/>
      <c r="U267" s="60"/>
    </row>
    <row r="268" spans="2:21">
      <c r="B268" s="343" t="s">
        <v>284</v>
      </c>
      <c r="C268" s="74"/>
      <c r="D268" s="57" t="s">
        <v>89</v>
      </c>
      <c r="E268" s="60"/>
      <c r="F268" s="60"/>
      <c r="G268" s="61"/>
      <c r="H268" s="61"/>
      <c r="I268" s="61"/>
      <c r="J268" s="339"/>
      <c r="K268" s="276"/>
      <c r="L268" s="276"/>
      <c r="M268" s="276"/>
      <c r="N268" s="276"/>
      <c r="O268" s="60"/>
      <c r="P268" s="60"/>
      <c r="Q268" s="60"/>
      <c r="R268" s="60"/>
      <c r="S268" s="60"/>
      <c r="T268" s="60"/>
      <c r="U268" s="60"/>
    </row>
    <row r="269" spans="2:21">
      <c r="B269" s="343"/>
      <c r="C269" s="100"/>
      <c r="D269" s="57" t="s">
        <v>90</v>
      </c>
      <c r="E269" s="60"/>
      <c r="F269" s="60"/>
      <c r="G269" s="60"/>
      <c r="H269" s="60"/>
      <c r="I269" s="60"/>
      <c r="J269" s="410"/>
      <c r="K269" s="276"/>
      <c r="L269" s="276"/>
      <c r="M269" s="276"/>
      <c r="N269" s="276"/>
      <c r="O269" s="60"/>
      <c r="P269" s="60"/>
      <c r="Q269" s="60"/>
      <c r="R269" s="60"/>
      <c r="S269" s="60"/>
      <c r="T269" s="60"/>
      <c r="U269" s="60"/>
    </row>
    <row r="270" spans="2:21">
      <c r="D270" s="57" t="s">
        <v>92</v>
      </c>
      <c r="E270" s="300"/>
      <c r="F270" s="300"/>
      <c r="G270" s="60"/>
      <c r="H270" s="60"/>
      <c r="I270" s="60"/>
      <c r="J270" s="410"/>
      <c r="K270" s="276"/>
      <c r="L270" s="276"/>
      <c r="M270" s="276"/>
      <c r="N270" s="276"/>
      <c r="O270" s="60"/>
      <c r="P270" s="60"/>
      <c r="Q270" s="60"/>
      <c r="R270" s="60"/>
      <c r="S270" s="60"/>
      <c r="T270" s="60"/>
      <c r="U270" s="60"/>
    </row>
    <row r="271" spans="2:21">
      <c r="D271" s="57" t="s">
        <v>93</v>
      </c>
      <c r="E271" s="60"/>
      <c r="F271" s="60"/>
      <c r="G271" s="60"/>
      <c r="H271" s="60"/>
      <c r="I271" s="60"/>
      <c r="J271" s="410"/>
      <c r="K271" s="276"/>
      <c r="L271" s="276"/>
      <c r="M271" s="276"/>
      <c r="N271" s="276"/>
      <c r="O271" s="60"/>
      <c r="P271" s="60"/>
      <c r="Q271" s="60"/>
      <c r="R271" s="60"/>
      <c r="S271" s="60"/>
      <c r="T271" s="60"/>
      <c r="U271" s="60"/>
    </row>
    <row r="272" spans="2:21">
      <c r="B272" s="64"/>
      <c r="C272" s="65"/>
      <c r="D272" s="57" t="s">
        <v>872</v>
      </c>
      <c r="E272" s="60"/>
      <c r="F272" s="60"/>
      <c r="G272" s="60"/>
      <c r="H272" s="60"/>
      <c r="I272" s="60"/>
      <c r="J272" s="410"/>
      <c r="K272" s="276"/>
      <c r="L272" s="276"/>
      <c r="M272" s="276"/>
      <c r="N272" s="276"/>
      <c r="O272" s="60"/>
      <c r="P272" s="60"/>
      <c r="Q272" s="60"/>
      <c r="R272" s="60"/>
      <c r="S272" s="60"/>
      <c r="T272" s="60"/>
      <c r="U272" s="60"/>
    </row>
    <row r="273" spans="2:21" ht="15" customHeight="1">
      <c r="B273" s="64"/>
      <c r="C273" s="65"/>
      <c r="D273" s="57"/>
      <c r="E273" s="60"/>
      <c r="F273" s="60"/>
      <c r="G273" s="60"/>
      <c r="H273" s="60"/>
      <c r="I273" s="60"/>
      <c r="J273" s="410"/>
      <c r="K273" s="276"/>
      <c r="L273" s="276"/>
      <c r="M273" s="276"/>
      <c r="N273" s="276"/>
      <c r="O273" s="60"/>
      <c r="P273" s="60"/>
      <c r="Q273" s="60"/>
      <c r="R273" s="60"/>
      <c r="S273" s="60"/>
      <c r="T273" s="60"/>
      <c r="U273" s="60"/>
    </row>
    <row r="274" spans="2:21">
      <c r="B274" s="64" t="s">
        <v>285</v>
      </c>
      <c r="C274" s="65"/>
      <c r="D274" s="404" t="s">
        <v>94</v>
      </c>
      <c r="E274" s="60"/>
      <c r="F274" s="60"/>
      <c r="G274" s="60"/>
      <c r="H274" s="60"/>
      <c r="I274" s="60"/>
      <c r="J274" s="410"/>
      <c r="K274" s="276"/>
      <c r="L274" s="276"/>
      <c r="M274" s="276"/>
      <c r="N274" s="276"/>
      <c r="O274" s="60"/>
      <c r="P274" s="60"/>
      <c r="Q274" s="60"/>
      <c r="R274" s="60"/>
      <c r="S274" s="60"/>
      <c r="T274" s="60"/>
      <c r="U274" s="60"/>
    </row>
    <row r="275" spans="2:21">
      <c r="B275" s="64"/>
      <c r="C275" s="65"/>
      <c r="D275" s="404"/>
      <c r="E275" s="60"/>
      <c r="F275" s="60"/>
      <c r="G275" s="60"/>
      <c r="H275" s="60"/>
      <c r="I275" s="60"/>
      <c r="J275" s="410"/>
      <c r="K275" s="276"/>
      <c r="L275" s="276"/>
      <c r="M275" s="276"/>
      <c r="N275" s="276"/>
      <c r="O275" s="60"/>
      <c r="P275" s="60"/>
      <c r="Q275" s="60"/>
      <c r="R275" s="60"/>
      <c r="S275" s="60"/>
      <c r="T275" s="60"/>
      <c r="U275" s="60"/>
    </row>
    <row r="276" spans="2:21">
      <c r="B276" s="64" t="s">
        <v>286</v>
      </c>
      <c r="C276" s="65"/>
      <c r="D276" s="404" t="s">
        <v>200</v>
      </c>
      <c r="E276" s="60"/>
      <c r="F276" s="60"/>
      <c r="G276" s="60"/>
      <c r="H276" s="60"/>
      <c r="I276" s="60"/>
      <c r="J276" s="410"/>
      <c r="K276" s="276"/>
      <c r="L276" s="276"/>
      <c r="M276" s="276"/>
      <c r="N276" s="276"/>
      <c r="O276" s="60"/>
      <c r="P276" s="60"/>
      <c r="Q276" s="60"/>
      <c r="R276" s="60"/>
      <c r="S276" s="60"/>
      <c r="T276" s="60"/>
      <c r="U276" s="60"/>
    </row>
    <row r="277" spans="2:21">
      <c r="B277" s="64"/>
      <c r="C277" s="65"/>
      <c r="D277" s="404"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7" s="60"/>
      <c r="F277" s="60"/>
      <c r="G277" s="60"/>
      <c r="H277" s="60"/>
      <c r="I277" s="60"/>
      <c r="J277" s="410"/>
      <c r="K277" s="276"/>
      <c r="L277" s="276"/>
      <c r="M277" s="276"/>
      <c r="N277" s="276"/>
      <c r="O277" s="60"/>
      <c r="P277" s="60"/>
      <c r="Q277" s="60"/>
      <c r="R277" s="60"/>
      <c r="S277" s="60"/>
      <c r="T277" s="60"/>
      <c r="U277" s="60"/>
    </row>
    <row r="278" spans="2:21">
      <c r="B278" s="64"/>
      <c r="C278" s="65"/>
      <c r="D278" s="404" t="s">
        <v>201</v>
      </c>
      <c r="E278" s="60"/>
      <c r="F278" s="60"/>
      <c r="G278" s="60"/>
      <c r="H278" s="60"/>
      <c r="I278" s="60"/>
      <c r="J278" s="410"/>
      <c r="K278" s="276"/>
      <c r="L278" s="276"/>
      <c r="M278" s="276"/>
      <c r="N278" s="276"/>
      <c r="O278" s="60"/>
      <c r="P278" s="57"/>
      <c r="Q278" s="57"/>
      <c r="R278" s="60"/>
      <c r="S278" s="60"/>
      <c r="T278" s="60"/>
      <c r="U278" s="60"/>
    </row>
    <row r="279" spans="2:21">
      <c r="B279" s="64"/>
      <c r="C279" s="65"/>
      <c r="D279" s="404"/>
      <c r="E279" s="60"/>
      <c r="F279" s="60"/>
      <c r="G279" s="60"/>
      <c r="H279" s="60"/>
      <c r="I279" s="60"/>
      <c r="J279" s="410"/>
      <c r="K279" s="276"/>
      <c r="L279" s="276"/>
      <c r="M279" s="276"/>
      <c r="N279" s="276"/>
      <c r="O279" s="60"/>
      <c r="P279" s="57"/>
      <c r="Q279" s="57"/>
      <c r="R279" s="60"/>
      <c r="S279" s="60"/>
      <c r="T279" s="60"/>
      <c r="U279" s="60"/>
    </row>
    <row r="280" spans="2:21">
      <c r="B280" s="64" t="s">
        <v>287</v>
      </c>
      <c r="C280" s="65"/>
      <c r="D280" s="2183" t="s">
        <v>873</v>
      </c>
      <c r="E280" s="2182"/>
      <c r="F280" s="2182"/>
      <c r="G280" s="2182"/>
      <c r="H280" s="2182"/>
      <c r="I280" s="2182"/>
      <c r="J280" s="2182"/>
      <c r="K280" s="276"/>
      <c r="L280" s="276"/>
      <c r="M280" s="276"/>
      <c r="N280" s="276"/>
      <c r="O280" s="60"/>
      <c r="P280" s="57"/>
      <c r="Q280" s="57"/>
      <c r="R280" s="60"/>
      <c r="S280" s="60"/>
      <c r="T280" s="60"/>
      <c r="U280" s="60"/>
    </row>
    <row r="281" spans="2:21">
      <c r="B281" s="64"/>
      <c r="C281" s="65"/>
      <c r="D281" s="2182"/>
      <c r="E281" s="2182"/>
      <c r="F281" s="2182"/>
      <c r="G281" s="2182"/>
      <c r="H281" s="2182"/>
      <c r="I281" s="2182"/>
      <c r="J281" s="2182"/>
      <c r="K281" s="276"/>
      <c r="L281" s="276"/>
      <c r="M281" s="276"/>
      <c r="N281" s="276"/>
      <c r="O281" s="60"/>
      <c r="P281" s="57"/>
      <c r="Q281" s="60"/>
      <c r="R281" s="60"/>
      <c r="S281" s="60"/>
      <c r="T281" s="60"/>
      <c r="U281" s="60"/>
    </row>
    <row r="282" spans="2:21">
      <c r="B282" s="64"/>
      <c r="C282" s="65"/>
      <c r="E282" s="60"/>
      <c r="F282" s="60"/>
      <c r="G282" s="60"/>
      <c r="H282" s="60"/>
      <c r="I282" s="60"/>
      <c r="J282" s="410"/>
      <c r="K282" s="276"/>
      <c r="L282" s="276"/>
      <c r="M282" s="276"/>
      <c r="N282" s="276"/>
      <c r="O282" s="60"/>
      <c r="P282" s="60"/>
      <c r="Q282" s="60"/>
      <c r="R282" s="60"/>
      <c r="S282" s="60"/>
      <c r="T282" s="60"/>
      <c r="U282" s="60"/>
    </row>
    <row r="283" spans="2:21">
      <c r="B283" s="64" t="s">
        <v>288</v>
      </c>
      <c r="C283" s="65"/>
      <c r="D283" s="57" t="s">
        <v>198</v>
      </c>
      <c r="E283" s="60"/>
      <c r="F283" s="60"/>
      <c r="G283" s="60"/>
      <c r="H283" s="60"/>
      <c r="I283" s="60"/>
      <c r="J283" s="410"/>
      <c r="K283" s="276"/>
      <c r="L283" s="276"/>
      <c r="M283" s="276"/>
      <c r="N283" s="276"/>
      <c r="O283" s="60"/>
      <c r="P283" s="60"/>
      <c r="Q283" s="60"/>
      <c r="R283" s="60"/>
      <c r="S283" s="60"/>
      <c r="T283" s="60"/>
      <c r="U283" s="60"/>
    </row>
    <row r="284" spans="2:21">
      <c r="B284" s="64"/>
      <c r="C284" s="65"/>
      <c r="D284" s="57" t="s">
        <v>414</v>
      </c>
      <c r="E284" s="60"/>
      <c r="F284" s="60"/>
      <c r="G284" s="60"/>
      <c r="H284" s="60"/>
      <c r="I284" s="60"/>
      <c r="J284" s="410"/>
      <c r="K284" s="276"/>
      <c r="L284" s="276"/>
      <c r="M284" s="276"/>
      <c r="N284" s="276"/>
      <c r="O284" s="60"/>
      <c r="P284" s="60"/>
      <c r="Q284" s="60"/>
      <c r="R284" s="60"/>
      <c r="S284" s="60"/>
      <c r="T284" s="60"/>
      <c r="U284" s="60"/>
    </row>
    <row r="285" spans="2:21">
      <c r="C285" s="65"/>
      <c r="D285" s="57" t="s">
        <v>622</v>
      </c>
      <c r="E285" s="60"/>
      <c r="F285" s="60"/>
      <c r="G285" s="60"/>
      <c r="H285" s="60"/>
      <c r="I285" s="60"/>
      <c r="J285" s="410"/>
      <c r="K285" s="276"/>
      <c r="L285" s="276"/>
      <c r="M285" s="276"/>
      <c r="N285" s="276"/>
      <c r="O285" s="60"/>
      <c r="P285" s="60"/>
      <c r="Q285" s="60"/>
      <c r="R285" s="60"/>
      <c r="S285" s="60"/>
      <c r="T285" s="60"/>
      <c r="U285" s="60"/>
    </row>
    <row r="286" spans="2:21">
      <c r="B286" s="64"/>
      <c r="C286" s="65"/>
      <c r="D286" s="57" t="s">
        <v>199</v>
      </c>
      <c r="E286" s="60"/>
      <c r="F286" s="60"/>
      <c r="G286" s="60"/>
      <c r="H286" s="60"/>
      <c r="I286" s="60"/>
      <c r="J286" s="410"/>
      <c r="K286" s="276"/>
      <c r="L286" s="276"/>
      <c r="M286" s="276"/>
      <c r="N286" s="276"/>
      <c r="O286" s="60"/>
      <c r="P286" s="60"/>
      <c r="Q286" s="60"/>
      <c r="R286" s="60"/>
      <c r="S286" s="60"/>
      <c r="T286" s="60"/>
      <c r="U286" s="60"/>
    </row>
    <row r="287" spans="2:21">
      <c r="B287" s="64"/>
      <c r="C287" s="65"/>
      <c r="D287" s="57"/>
      <c r="E287" s="60"/>
      <c r="F287" s="60"/>
      <c r="G287" s="60"/>
      <c r="H287" s="60"/>
      <c r="I287" s="60"/>
      <c r="J287" s="410"/>
      <c r="K287" s="276"/>
      <c r="L287" s="276"/>
      <c r="M287" s="276"/>
      <c r="N287" s="276"/>
      <c r="O287" s="60"/>
      <c r="P287" s="60"/>
      <c r="Q287" s="60"/>
      <c r="R287" s="60"/>
      <c r="S287" s="60"/>
      <c r="T287" s="60"/>
      <c r="U287" s="60"/>
    </row>
    <row r="288" spans="2:21">
      <c r="B288" s="64" t="s">
        <v>289</v>
      </c>
      <c r="C288" s="65"/>
      <c r="D288" s="57" t="s">
        <v>133</v>
      </c>
      <c r="E288" s="60"/>
      <c r="F288" s="60"/>
      <c r="G288" s="60"/>
      <c r="H288" s="60"/>
      <c r="I288" s="60"/>
      <c r="J288" s="410"/>
      <c r="K288" s="276"/>
      <c r="L288" s="276"/>
      <c r="M288" s="276"/>
      <c r="N288" s="276"/>
      <c r="O288" s="60"/>
      <c r="P288" s="60"/>
      <c r="Q288" s="60"/>
      <c r="R288" s="60"/>
      <c r="S288" s="60"/>
      <c r="T288" s="60"/>
      <c r="U288" s="60"/>
    </row>
    <row r="289" spans="2:21">
      <c r="B289" s="64"/>
      <c r="C289" s="65"/>
      <c r="D289" s="57"/>
      <c r="E289" s="60"/>
      <c r="F289" s="60"/>
      <c r="G289" s="60"/>
      <c r="H289" s="60"/>
      <c r="I289" s="60"/>
      <c r="J289" s="410"/>
      <c r="K289" s="276"/>
      <c r="L289" s="276"/>
      <c r="M289" s="276"/>
      <c r="N289" s="276"/>
      <c r="O289" s="60"/>
      <c r="P289" s="60"/>
      <c r="Q289" s="60"/>
      <c r="R289" s="60"/>
      <c r="S289" s="60"/>
      <c r="T289" s="60"/>
      <c r="U289" s="60"/>
    </row>
    <row r="290" spans="2:21">
      <c r="B290" s="64" t="s">
        <v>290</v>
      </c>
      <c r="C290" s="65"/>
      <c r="D290" s="57" t="str">
        <f>"Cash Working Capital assigned to transmission is one-eighth of O&amp;M allocated to transmission on line "&amp;B134&amp;"."</f>
        <v>Cash Working Capital assigned to transmission is one-eighth of O&amp;M allocated to transmission on line 70.</v>
      </c>
      <c r="E290" s="60"/>
      <c r="F290" s="60"/>
      <c r="G290" s="60"/>
      <c r="H290" s="60"/>
      <c r="I290" s="60"/>
      <c r="J290" s="410"/>
      <c r="K290" s="276"/>
      <c r="L290" s="276"/>
      <c r="M290" s="276"/>
      <c r="N290" s="276"/>
      <c r="O290" s="60"/>
      <c r="P290" s="60"/>
      <c r="Q290" s="60"/>
      <c r="R290" s="60"/>
      <c r="S290" s="60"/>
      <c r="T290" s="60"/>
      <c r="U290" s="60"/>
    </row>
    <row r="291" spans="2:21">
      <c r="B291" s="64"/>
      <c r="C291" s="65"/>
      <c r="D291" s="57"/>
      <c r="E291" s="60"/>
      <c r="F291" s="60"/>
      <c r="G291" s="60"/>
      <c r="H291" s="60"/>
      <c r="I291" s="60"/>
      <c r="J291" s="410"/>
      <c r="K291" s="276"/>
      <c r="L291" s="276"/>
      <c r="M291" s="276"/>
      <c r="N291" s="276"/>
      <c r="O291" s="60"/>
      <c r="P291" s="60"/>
      <c r="Q291" s="60"/>
      <c r="R291" s="60"/>
      <c r="S291" s="60"/>
      <c r="T291" s="60"/>
      <c r="U291" s="60"/>
    </row>
    <row r="292" spans="2:21">
      <c r="B292" s="343" t="s">
        <v>291</v>
      </c>
      <c r="C292" s="100"/>
      <c r="D292"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2" s="339"/>
      <c r="K292" s="276"/>
      <c r="L292" s="276"/>
      <c r="M292" s="276"/>
      <c r="N292" s="276"/>
      <c r="O292" s="60"/>
      <c r="P292" s="60"/>
      <c r="Q292" s="60"/>
      <c r="R292" s="60"/>
      <c r="S292" s="60"/>
      <c r="T292" s="60"/>
      <c r="U292" s="60"/>
    </row>
    <row r="293" spans="2:21">
      <c r="D293" s="53" t="s">
        <v>352</v>
      </c>
      <c r="J293" s="339"/>
      <c r="K293" s="276"/>
      <c r="L293" s="276"/>
      <c r="M293" s="276"/>
      <c r="N293" s="276"/>
      <c r="O293" s="60"/>
      <c r="P293" s="60"/>
      <c r="Q293" s="60"/>
      <c r="R293" s="60"/>
      <c r="S293" s="60"/>
      <c r="T293" s="60"/>
      <c r="U293" s="60"/>
    </row>
    <row r="294" spans="2:21">
      <c r="D294" s="53" t="str">
        <f>"expense is included on line "&amp;B186&amp;"."</f>
        <v>expense is included on line 113.</v>
      </c>
      <c r="J294" s="339"/>
      <c r="K294" s="276"/>
      <c r="L294" s="276"/>
      <c r="M294" s="276"/>
      <c r="N294" s="276"/>
      <c r="O294" s="60"/>
      <c r="P294" s="60"/>
      <c r="Q294" s="60"/>
      <c r="R294" s="60"/>
      <c r="S294" s="60"/>
      <c r="T294" s="60"/>
      <c r="U294" s="60"/>
    </row>
    <row r="295" spans="2:21">
      <c r="J295" s="339"/>
      <c r="K295" s="276"/>
      <c r="L295" s="276"/>
      <c r="M295" s="276"/>
      <c r="N295" s="276"/>
      <c r="O295" s="60"/>
      <c r="P295" s="60"/>
      <c r="Q295" s="60"/>
      <c r="R295" s="60"/>
      <c r="S295" s="60"/>
      <c r="T295" s="60"/>
      <c r="U295" s="60"/>
    </row>
    <row r="296" spans="2:21" ht="20.25" customHeight="1">
      <c r="B296" s="343" t="s">
        <v>292</v>
      </c>
      <c r="D296" s="2180"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6" s="2180"/>
      <c r="F296" s="2180"/>
      <c r="G296" s="2180"/>
      <c r="H296" s="2180"/>
      <c r="I296" s="2180"/>
      <c r="J296" s="2180"/>
      <c r="K296" s="276"/>
      <c r="L296" s="276"/>
      <c r="M296" s="276"/>
      <c r="N296" s="276"/>
      <c r="O296" s="60"/>
      <c r="P296" s="60"/>
      <c r="Q296" s="60"/>
      <c r="R296" s="60"/>
      <c r="S296" s="60"/>
      <c r="T296" s="60"/>
      <c r="U296" s="60"/>
    </row>
    <row r="297" spans="2:21">
      <c r="B297" s="343"/>
      <c r="D297" s="57"/>
      <c r="J297" s="339"/>
      <c r="K297" s="276"/>
      <c r="L297" s="276"/>
      <c r="M297" s="276"/>
      <c r="N297" s="276"/>
      <c r="O297" s="60"/>
      <c r="P297" s="60"/>
      <c r="Q297" s="60"/>
      <c r="R297" s="60"/>
      <c r="S297" s="60"/>
      <c r="T297" s="60"/>
      <c r="U297" s="60"/>
    </row>
    <row r="298" spans="2:21">
      <c r="B298" s="343" t="s">
        <v>293</v>
      </c>
      <c r="D298" s="53" t="s">
        <v>134</v>
      </c>
      <c r="J298" s="339"/>
      <c r="K298" s="276"/>
      <c r="L298" s="276"/>
      <c r="M298" s="276"/>
      <c r="N298" s="276"/>
      <c r="O298" s="60"/>
      <c r="P298" s="60"/>
      <c r="Q298" s="60"/>
      <c r="R298" s="60"/>
      <c r="S298" s="60"/>
      <c r="T298" s="60"/>
      <c r="U298" s="60"/>
    </row>
    <row r="299" spans="2:21">
      <c r="B299" s="343"/>
      <c r="J299" s="339"/>
      <c r="K299" s="276"/>
      <c r="L299" s="276"/>
      <c r="M299" s="276"/>
      <c r="N299" s="276"/>
      <c r="O299" s="60"/>
      <c r="P299" s="60"/>
      <c r="Q299" s="60"/>
      <c r="R299" s="60"/>
      <c r="S299" s="60"/>
      <c r="T299" s="60"/>
      <c r="U299" s="60"/>
    </row>
    <row r="300" spans="2:21">
      <c r="B300" s="64" t="s">
        <v>294</v>
      </c>
      <c r="D300" s="53" t="s">
        <v>660</v>
      </c>
      <c r="J300" s="339"/>
      <c r="K300" s="276"/>
      <c r="L300" s="276"/>
      <c r="M300" s="276"/>
      <c r="N300" s="276"/>
      <c r="O300" s="60"/>
      <c r="P300" s="60"/>
      <c r="Q300" s="60"/>
      <c r="R300" s="60"/>
      <c r="S300" s="60"/>
      <c r="T300" s="60"/>
      <c r="U300" s="60"/>
    </row>
    <row r="301" spans="2:21">
      <c r="B301" s="343"/>
      <c r="J301" s="339"/>
      <c r="K301" s="276"/>
      <c r="L301" s="276"/>
      <c r="M301" s="276"/>
      <c r="N301" s="276"/>
      <c r="O301" s="60"/>
      <c r="P301" s="60"/>
      <c r="Q301" s="60"/>
      <c r="R301" s="60"/>
      <c r="S301" s="60"/>
      <c r="T301" s="60"/>
      <c r="U301" s="60"/>
    </row>
    <row r="302" spans="2:21">
      <c r="B302" s="64" t="s">
        <v>295</v>
      </c>
      <c r="C302" s="65"/>
      <c r="D302" s="57" t="s">
        <v>874</v>
      </c>
      <c r="E302" s="60"/>
      <c r="F302" s="60"/>
      <c r="G302" s="60"/>
      <c r="H302" s="60"/>
      <c r="I302" s="60"/>
      <c r="J302" s="410"/>
      <c r="K302" s="276"/>
      <c r="L302" s="276"/>
      <c r="M302" s="276"/>
      <c r="N302" s="276"/>
      <c r="O302" s="60"/>
      <c r="P302" s="60"/>
      <c r="Q302" s="60"/>
      <c r="R302" s="60"/>
      <c r="S302" s="60"/>
      <c r="T302" s="60"/>
      <c r="U302" s="60"/>
    </row>
    <row r="303" spans="2:21">
      <c r="B303" s="64"/>
      <c r="C303" s="65"/>
      <c r="D303" s="57" t="s">
        <v>135</v>
      </c>
      <c r="E303" s="60"/>
      <c r="F303" s="60"/>
      <c r="G303" s="60"/>
      <c r="H303" s="60"/>
      <c r="I303" s="60"/>
      <c r="J303" s="410"/>
      <c r="K303" s="276"/>
      <c r="L303" s="276"/>
      <c r="M303" s="276"/>
      <c r="N303" s="276"/>
      <c r="O303" s="60"/>
      <c r="P303" s="60"/>
      <c r="Q303" s="60"/>
      <c r="R303" s="60"/>
      <c r="S303" s="60"/>
      <c r="T303" s="60"/>
      <c r="U303" s="60"/>
    </row>
    <row r="304" spans="2:21">
      <c r="B304" s="64"/>
      <c r="C304" s="65"/>
      <c r="D304" s="57" t="s">
        <v>136</v>
      </c>
      <c r="E304" s="60"/>
      <c r="F304" s="60"/>
      <c r="G304" s="60"/>
      <c r="H304" s="60"/>
      <c r="I304" s="60"/>
      <c r="J304" s="410"/>
      <c r="K304" s="276"/>
      <c r="L304" s="276"/>
      <c r="M304" s="276"/>
      <c r="N304" s="276"/>
      <c r="O304" s="60"/>
      <c r="P304" s="60"/>
      <c r="Q304" s="60"/>
      <c r="R304" s="60"/>
      <c r="S304" s="60"/>
      <c r="T304" s="60"/>
      <c r="U304" s="60"/>
    </row>
    <row r="305" spans="2:21">
      <c r="B305" s="64"/>
      <c r="C305" s="65"/>
      <c r="D305" s="53" t="s">
        <v>875</v>
      </c>
      <c r="E305" s="60"/>
      <c r="F305" s="60"/>
      <c r="G305" s="60"/>
      <c r="H305" s="60"/>
      <c r="I305" s="60"/>
      <c r="J305" s="410"/>
      <c r="K305" s="276"/>
      <c r="L305" s="276"/>
      <c r="M305" s="276"/>
      <c r="N305" s="276"/>
      <c r="O305" s="60"/>
      <c r="P305" s="60"/>
      <c r="Q305" s="60"/>
      <c r="R305" s="60"/>
      <c r="S305" s="60"/>
      <c r="T305" s="60"/>
      <c r="U305" s="60"/>
    </row>
    <row r="306" spans="2:21">
      <c r="B306" s="64"/>
      <c r="C306" s="65"/>
      <c r="E306" s="60"/>
      <c r="F306" s="60"/>
      <c r="G306" s="60"/>
      <c r="H306" s="60"/>
      <c r="I306" s="60"/>
      <c r="J306" s="410"/>
      <c r="K306" s="276"/>
      <c r="L306" s="276"/>
      <c r="M306" s="276"/>
      <c r="N306" s="276"/>
      <c r="O306" s="60"/>
      <c r="P306" s="60"/>
      <c r="Q306" s="60"/>
      <c r="R306" s="60"/>
      <c r="S306" s="60"/>
      <c r="T306" s="60"/>
      <c r="U306" s="60"/>
    </row>
    <row r="307" spans="2:21" ht="62.25" customHeight="1">
      <c r="B307" s="411" t="s">
        <v>296</v>
      </c>
      <c r="C307" s="65"/>
      <c r="D307" s="2177" t="s">
        <v>655</v>
      </c>
      <c r="E307" s="2177"/>
      <c r="F307" s="2177"/>
      <c r="G307" s="2177"/>
      <c r="H307" s="2177"/>
      <c r="I307" s="2177"/>
      <c r="J307" s="2177"/>
      <c r="K307" s="276"/>
      <c r="L307" s="276"/>
      <c r="M307" s="276"/>
      <c r="N307" s="276"/>
      <c r="O307" s="60"/>
      <c r="P307" s="60"/>
      <c r="Q307" s="60"/>
      <c r="R307" s="60"/>
      <c r="S307" s="60"/>
      <c r="T307" s="60"/>
      <c r="U307" s="60"/>
    </row>
    <row r="308" spans="2:21">
      <c r="B308" s="100"/>
      <c r="C308" s="65"/>
      <c r="E308" s="60"/>
      <c r="F308" s="60"/>
      <c r="G308" s="60"/>
      <c r="H308" s="60"/>
      <c r="I308" s="60"/>
      <c r="J308" s="410"/>
      <c r="K308" s="276"/>
      <c r="L308" s="276"/>
      <c r="M308" s="276"/>
      <c r="N308" s="276"/>
      <c r="O308" s="60"/>
      <c r="P308" s="60"/>
      <c r="Q308" s="60"/>
      <c r="R308" s="60"/>
      <c r="S308" s="60"/>
      <c r="T308" s="60"/>
      <c r="U308" s="60"/>
    </row>
    <row r="309" spans="2:21" ht="30.75" customHeight="1">
      <c r="B309" s="411" t="s">
        <v>364</v>
      </c>
      <c r="C309" s="65"/>
      <c r="D309" s="2179" t="s">
        <v>623</v>
      </c>
      <c r="E309" s="2179"/>
      <c r="F309" s="2179"/>
      <c r="G309" s="2179"/>
      <c r="H309" s="2179"/>
      <c r="I309" s="2179"/>
      <c r="J309" s="2179"/>
      <c r="K309" s="276"/>
      <c r="L309" s="276"/>
      <c r="M309" s="276"/>
      <c r="N309" s="276"/>
      <c r="O309" s="60"/>
      <c r="P309" s="60"/>
      <c r="Q309" s="60"/>
      <c r="R309" s="60"/>
      <c r="S309" s="60"/>
      <c r="T309" s="60"/>
      <c r="U309" s="60"/>
    </row>
    <row r="310" spans="2:21">
      <c r="C310" s="65"/>
      <c r="D310" s="163"/>
      <c r="E310" s="163"/>
      <c r="F310" s="163"/>
      <c r="G310" s="163"/>
      <c r="H310" s="163"/>
      <c r="I310" s="163"/>
      <c r="J310" s="163"/>
      <c r="K310" s="276"/>
      <c r="L310" s="276"/>
      <c r="M310" s="276"/>
      <c r="N310" s="276"/>
      <c r="O310" s="60"/>
      <c r="P310" s="60"/>
      <c r="Q310" s="60"/>
      <c r="R310" s="60"/>
      <c r="S310" s="60"/>
      <c r="T310" s="60"/>
      <c r="U310" s="60"/>
    </row>
    <row r="311" spans="2:21">
      <c r="B311" s="64" t="s">
        <v>385</v>
      </c>
      <c r="C311" s="65"/>
      <c r="D311" s="57" t="s">
        <v>406</v>
      </c>
      <c r="E311" s="60"/>
      <c r="F311" s="60"/>
      <c r="G311" s="60"/>
      <c r="H311" s="60"/>
      <c r="I311" s="60"/>
      <c r="J311" s="410"/>
      <c r="K311" s="276"/>
      <c r="L311" s="276"/>
      <c r="M311" s="276"/>
      <c r="N311" s="276"/>
      <c r="O311" s="60"/>
      <c r="P311" s="60"/>
      <c r="Q311" s="60"/>
      <c r="R311" s="60"/>
      <c r="S311" s="60"/>
      <c r="T311" s="60"/>
      <c r="U311" s="60"/>
    </row>
    <row r="312" spans="2:21">
      <c r="B312" s="64"/>
      <c r="C312" s="65"/>
      <c r="D312" s="57" t="s">
        <v>2</v>
      </c>
      <c r="E312" s="60"/>
      <c r="F312" s="60"/>
      <c r="G312" s="60"/>
      <c r="H312" s="60"/>
      <c r="I312" s="60"/>
      <c r="J312" s="410"/>
      <c r="K312" s="276"/>
      <c r="L312" s="276"/>
      <c r="M312" s="276"/>
      <c r="N312" s="276"/>
      <c r="O312" s="60"/>
      <c r="P312" s="60"/>
      <c r="Q312" s="60"/>
      <c r="R312" s="60"/>
      <c r="S312" s="60"/>
      <c r="T312" s="60"/>
      <c r="U312" s="60"/>
    </row>
    <row r="313" spans="2:21">
      <c r="B313" s="64"/>
      <c r="C313" s="65"/>
      <c r="D313" s="57" t="s">
        <v>3</v>
      </c>
      <c r="E313" s="60"/>
      <c r="F313" s="60"/>
      <c r="G313" s="60"/>
      <c r="H313" s="60"/>
      <c r="I313" s="60"/>
      <c r="J313" s="410"/>
      <c r="K313" s="276"/>
      <c r="L313" s="276"/>
      <c r="M313" s="276"/>
      <c r="N313" s="276"/>
      <c r="O313" s="60"/>
      <c r="P313" s="60"/>
      <c r="Q313" s="60"/>
      <c r="R313" s="60"/>
      <c r="S313" s="60"/>
      <c r="T313" s="60"/>
      <c r="U313" s="60"/>
    </row>
    <row r="314" spans="2:21">
      <c r="B314" s="64"/>
      <c r="C314" s="65"/>
      <c r="D314" s="57" t="s">
        <v>4</v>
      </c>
      <c r="E314" s="60"/>
      <c r="F314" s="60"/>
      <c r="G314" s="60"/>
      <c r="H314" s="60"/>
      <c r="I314" s="60"/>
      <c r="J314" s="410"/>
      <c r="K314" s="276"/>
      <c r="L314" s="276"/>
      <c r="M314" s="276"/>
      <c r="N314" s="276"/>
      <c r="O314" s="60"/>
      <c r="P314" s="60"/>
      <c r="Q314" s="60"/>
      <c r="R314" s="60"/>
      <c r="S314" s="60"/>
      <c r="T314" s="60"/>
      <c r="U314" s="60"/>
    </row>
    <row r="315" spans="2:21">
      <c r="B315" s="64"/>
      <c r="C315" s="65"/>
      <c r="D315" s="57" t="s">
        <v>5</v>
      </c>
      <c r="E315" s="60"/>
      <c r="F315" s="60"/>
      <c r="G315" s="60"/>
      <c r="H315" s="60"/>
      <c r="I315" s="60"/>
      <c r="J315" s="410"/>
      <c r="K315" s="276"/>
      <c r="L315" s="276"/>
      <c r="M315" s="276"/>
      <c r="N315" s="276"/>
      <c r="O315" s="60"/>
      <c r="P315" s="60"/>
      <c r="Q315" s="60"/>
      <c r="R315" s="60"/>
      <c r="S315" s="60"/>
      <c r="T315" s="60"/>
      <c r="U315" s="60"/>
    </row>
    <row r="316" spans="2:21">
      <c r="B316" s="64"/>
      <c r="C316" s="65"/>
      <c r="D316" s="57" t="str">
        <f>"(ln "&amp;B168&amp;") multiplied by (1/1-T) .  If the applicable tax rates are zero enter 0."</f>
        <v>(ln 99) multiplied by (1/1-T) .  If the applicable tax rates are zero enter 0.</v>
      </c>
      <c r="E316" s="60"/>
      <c r="F316" s="60"/>
      <c r="G316" s="60"/>
      <c r="H316" s="60"/>
      <c r="I316" s="60"/>
      <c r="J316" s="410"/>
      <c r="K316" s="276"/>
      <c r="L316" s="276"/>
      <c r="M316" s="276"/>
      <c r="N316" s="276"/>
      <c r="O316" s="60"/>
      <c r="P316" s="60"/>
      <c r="Q316" s="60"/>
      <c r="R316" s="60"/>
      <c r="S316" s="60"/>
      <c r="T316" s="60"/>
      <c r="U316" s="60"/>
    </row>
    <row r="317" spans="2:21">
      <c r="B317" s="64" t="s">
        <v>251</v>
      </c>
      <c r="C317" s="65"/>
      <c r="D317" s="57" t="s">
        <v>6</v>
      </c>
      <c r="E317" s="60" t="s">
        <v>7</v>
      </c>
      <c r="F317" s="398">
        <v>0.21</v>
      </c>
      <c r="G317" s="60"/>
      <c r="I317" s="60"/>
      <c r="J317" s="410"/>
      <c r="K317" s="276"/>
      <c r="L317" s="276"/>
      <c r="M317" s="276"/>
      <c r="N317" s="276"/>
      <c r="O317" s="60"/>
      <c r="P317" s="60"/>
      <c r="Q317" s="60"/>
      <c r="R317" s="60"/>
      <c r="S317" s="60"/>
      <c r="T317" s="60"/>
      <c r="U317" s="60"/>
    </row>
    <row r="318" spans="2:21">
      <c r="B318" s="64"/>
      <c r="C318" s="65"/>
      <c r="D318" s="57"/>
      <c r="E318" s="60" t="s">
        <v>8</v>
      </c>
      <c r="F318" s="300">
        <f>+'SWT WS K State Taxes'!F29</f>
        <v>7.4999999999999997E-2</v>
      </c>
      <c r="G318" s="60" t="s">
        <v>116</v>
      </c>
      <c r="I318" s="60"/>
      <c r="J318" s="410"/>
      <c r="K318" s="276"/>
      <c r="L318" s="276"/>
      <c r="M318" s="276"/>
      <c r="N318" s="276"/>
      <c r="O318" s="60"/>
      <c r="P318" s="60"/>
      <c r="Q318" s="60"/>
      <c r="R318" s="60"/>
      <c r="S318" s="60"/>
      <c r="T318" s="60"/>
      <c r="U318" s="60"/>
    </row>
    <row r="319" spans="2:21">
      <c r="B319" s="64"/>
      <c r="C319" s="65"/>
      <c r="D319" s="57"/>
      <c r="E319" s="60" t="s">
        <v>9</v>
      </c>
      <c r="F319" s="398">
        <v>0</v>
      </c>
      <c r="G319" s="60" t="s">
        <v>10</v>
      </c>
      <c r="I319" s="60"/>
      <c r="J319" s="410"/>
      <c r="K319" s="276"/>
      <c r="L319" s="276"/>
      <c r="M319" s="276"/>
      <c r="N319" s="276"/>
      <c r="O319" s="60"/>
      <c r="P319" s="60"/>
      <c r="Q319" s="60"/>
      <c r="R319" s="60"/>
      <c r="S319" s="60"/>
      <c r="T319" s="60"/>
      <c r="U319" s="60"/>
    </row>
    <row r="320" spans="2:21" ht="39.75" customHeight="1">
      <c r="B320" s="64"/>
      <c r="C320" s="65"/>
      <c r="D320" s="2178" t="s">
        <v>885</v>
      </c>
      <c r="E320" s="2178"/>
      <c r="F320" s="2178"/>
      <c r="G320" s="2178"/>
      <c r="H320" s="2178"/>
      <c r="I320" s="2178"/>
      <c r="J320" s="2178"/>
      <c r="K320" s="412"/>
      <c r="L320" s="412"/>
      <c r="M320" s="276"/>
      <c r="N320" s="276"/>
      <c r="O320" s="60"/>
      <c r="P320" s="60"/>
      <c r="Q320" s="60"/>
      <c r="R320" s="60"/>
      <c r="S320" s="60"/>
      <c r="T320" s="60"/>
      <c r="U320" s="60"/>
    </row>
    <row r="321" spans="2:21">
      <c r="B321" s="64"/>
      <c r="C321" s="65"/>
      <c r="D321" s="57"/>
      <c r="E321" s="60"/>
      <c r="F321" s="300"/>
      <c r="G321" s="60"/>
      <c r="I321" s="60"/>
      <c r="J321" s="410"/>
      <c r="K321" s="276"/>
      <c r="L321" s="276"/>
      <c r="M321" s="276"/>
      <c r="N321" s="276"/>
      <c r="O321" s="60"/>
      <c r="P321" s="60"/>
      <c r="Q321" s="60"/>
      <c r="R321" s="60"/>
      <c r="S321" s="60"/>
      <c r="T321" s="60"/>
      <c r="U321" s="60"/>
    </row>
    <row r="322" spans="2:21">
      <c r="B322" s="64"/>
      <c r="C322" s="65"/>
      <c r="D322" s="57"/>
      <c r="E322" s="60"/>
      <c r="F322" s="300"/>
      <c r="G322" s="60"/>
      <c r="I322" s="60"/>
      <c r="J322" s="410"/>
      <c r="K322" s="276"/>
      <c r="L322" s="276"/>
      <c r="M322" s="276"/>
      <c r="N322" s="276"/>
      <c r="O322" s="60"/>
      <c r="P322" s="60"/>
      <c r="Q322" s="60"/>
      <c r="R322" s="60"/>
      <c r="S322" s="60"/>
      <c r="T322" s="60"/>
      <c r="U322" s="60"/>
    </row>
    <row r="323" spans="2:21">
      <c r="B323" s="64" t="s">
        <v>11</v>
      </c>
      <c r="C323" s="65"/>
      <c r="D323" s="57" t="s">
        <v>656</v>
      </c>
      <c r="E323" s="60"/>
      <c r="F323" s="60"/>
      <c r="G323" s="300"/>
      <c r="H323" s="60"/>
      <c r="I323" s="60"/>
      <c r="J323" s="410"/>
      <c r="K323" s="276"/>
      <c r="L323" s="276"/>
      <c r="M323" s="276"/>
      <c r="N323" s="276"/>
      <c r="O323" s="60"/>
      <c r="P323" s="60"/>
      <c r="Q323" s="60"/>
      <c r="R323" s="60"/>
      <c r="S323" s="60"/>
      <c r="T323" s="60"/>
      <c r="U323" s="60"/>
    </row>
    <row r="324" spans="2:21">
      <c r="B324" s="64"/>
      <c r="C324" s="65"/>
      <c r="D324" s="57" t="s">
        <v>0</v>
      </c>
      <c r="E324" s="60"/>
      <c r="F324" s="60"/>
      <c r="G324" s="300"/>
      <c r="H324" s="60"/>
      <c r="I324" s="60"/>
      <c r="J324" s="410"/>
      <c r="K324" s="276"/>
      <c r="L324" s="276"/>
      <c r="M324" s="276"/>
      <c r="N324" s="276"/>
      <c r="O324" s="60"/>
      <c r="P324" s="60"/>
      <c r="Q324" s="60"/>
      <c r="R324" s="60"/>
      <c r="S324" s="60"/>
      <c r="T324" s="60"/>
      <c r="U324" s="60"/>
    </row>
    <row r="325" spans="2:21">
      <c r="B325" s="64"/>
      <c r="C325" s="65"/>
      <c r="D325" s="57"/>
      <c r="E325" s="60"/>
      <c r="F325" s="60"/>
      <c r="G325" s="300"/>
      <c r="H325" s="60"/>
      <c r="I325" s="60"/>
      <c r="J325" s="410"/>
      <c r="K325" s="276"/>
      <c r="L325" s="276"/>
      <c r="M325" s="276"/>
      <c r="N325" s="276"/>
      <c r="O325" s="60"/>
      <c r="P325" s="60"/>
      <c r="Q325" s="60"/>
      <c r="R325" s="60"/>
      <c r="S325" s="60"/>
      <c r="T325" s="60"/>
      <c r="U325" s="60"/>
    </row>
    <row r="326" spans="2:21" ht="20.25" customHeight="1">
      <c r="B326" s="413" t="s">
        <v>12</v>
      </c>
      <c r="C326" s="414"/>
      <c r="D326" s="2177" t="s">
        <v>904</v>
      </c>
      <c r="E326" s="2177"/>
      <c r="F326" s="2177"/>
      <c r="G326" s="2177"/>
      <c r="H326" s="2177"/>
      <c r="I326" s="2177"/>
      <c r="J326" s="2177"/>
      <c r="K326" s="276"/>
      <c r="L326" s="276"/>
      <c r="M326" s="276"/>
      <c r="N326" s="276"/>
      <c r="O326" s="60"/>
      <c r="P326" s="60"/>
      <c r="Q326" s="60"/>
      <c r="R326" s="60"/>
      <c r="S326" s="60"/>
      <c r="T326" s="60"/>
      <c r="U326" s="60"/>
    </row>
    <row r="327" spans="2:21">
      <c r="B327" s="53"/>
      <c r="D327" s="57"/>
      <c r="J327" s="339"/>
      <c r="K327" s="276"/>
      <c r="L327" s="276"/>
      <c r="M327" s="276"/>
      <c r="N327" s="276"/>
      <c r="O327" s="60"/>
      <c r="P327" s="60"/>
      <c r="Q327" s="60"/>
      <c r="R327" s="60"/>
      <c r="S327" s="60"/>
      <c r="T327" s="60"/>
      <c r="U327" s="60"/>
    </row>
    <row r="328" spans="2:21">
      <c r="B328" s="64" t="s">
        <v>13</v>
      </c>
      <c r="C328" s="65"/>
      <c r="D328" s="57" t="s">
        <v>529</v>
      </c>
      <c r="J328" s="339"/>
      <c r="K328" s="276"/>
      <c r="L328" s="276"/>
      <c r="M328" s="276"/>
      <c r="N328" s="276"/>
      <c r="O328" s="60"/>
      <c r="P328" s="60"/>
      <c r="Q328" s="60"/>
      <c r="R328" s="60"/>
      <c r="S328" s="60"/>
      <c r="T328" s="60"/>
      <c r="U328" s="60"/>
    </row>
    <row r="329" spans="2:21">
      <c r="B329" s="64"/>
      <c r="C329" s="65"/>
      <c r="D329" s="57"/>
      <c r="E329" s="60"/>
      <c r="F329" s="60"/>
      <c r="G329" s="60"/>
      <c r="H329" s="60"/>
      <c r="I329" s="60"/>
      <c r="J329" s="410"/>
      <c r="K329" s="276"/>
      <c r="L329" s="276"/>
      <c r="M329" s="276"/>
      <c r="N329" s="276"/>
      <c r="O329" s="60"/>
      <c r="P329" s="60"/>
      <c r="Q329" s="60"/>
      <c r="R329" s="60"/>
      <c r="S329" s="60"/>
      <c r="T329" s="60"/>
      <c r="U329" s="60"/>
    </row>
    <row r="330" spans="2:21">
      <c r="B330" s="64" t="s">
        <v>14</v>
      </c>
      <c r="C330" s="65"/>
      <c r="D330" s="57" t="s">
        <v>138</v>
      </c>
      <c r="E330" s="60"/>
      <c r="F330" s="60"/>
      <c r="G330" s="60"/>
      <c r="H330" s="60"/>
      <c r="I330" s="60"/>
      <c r="J330" s="410"/>
      <c r="K330" s="276"/>
      <c r="L330" s="276"/>
      <c r="M330" s="276"/>
      <c r="N330" s="276"/>
      <c r="O330" s="60"/>
      <c r="P330" s="60"/>
      <c r="Q330" s="60"/>
      <c r="R330" s="60"/>
      <c r="S330" s="60"/>
      <c r="T330" s="60"/>
      <c r="U330" s="60"/>
    </row>
    <row r="331" spans="2:21">
      <c r="B331" s="64"/>
      <c r="C331" s="65"/>
      <c r="D331" s="57"/>
      <c r="E331" s="60"/>
      <c r="F331" s="60"/>
      <c r="G331" s="60"/>
      <c r="H331" s="60"/>
      <c r="I331" s="60"/>
      <c r="J331" s="410"/>
      <c r="K331" s="276"/>
      <c r="L331" s="276"/>
      <c r="M331" s="276"/>
      <c r="N331" s="276"/>
      <c r="O331" s="60"/>
      <c r="P331" s="60"/>
      <c r="Q331" s="60"/>
      <c r="R331" s="60"/>
      <c r="S331" s="60"/>
      <c r="T331" s="60"/>
      <c r="U331" s="60"/>
    </row>
    <row r="332" spans="2:21">
      <c r="B332" s="343" t="s">
        <v>55</v>
      </c>
      <c r="C332" s="100"/>
      <c r="D332" s="57" t="str">
        <f>"Long Term Debt cost rate = Long-Term Interest (ln "&amp;B226&amp;") / Long Term Debt (ln "&amp;B236&amp;").  Preferred Stock cost rate = preferred dividends (ln "&amp;B227&amp;") / preferred outstanding (ln "&amp;B237&amp;")."</f>
        <v>Long Term Debt cost rate = Long-Term Interest (ln 133) / Long Term Debt (ln 142).  Preferred Stock cost rate = preferred dividends (ln 134) / preferred outstanding (ln 143).</v>
      </c>
      <c r="J332" s="339"/>
      <c r="M332" s="276"/>
      <c r="N332" s="276"/>
      <c r="O332" s="60"/>
      <c r="P332" s="60"/>
      <c r="Q332" s="60"/>
      <c r="R332" s="60"/>
      <c r="S332" s="60"/>
      <c r="T332" s="60"/>
      <c r="U332" s="60"/>
    </row>
    <row r="333" spans="2:21">
      <c r="D333" s="57" t="s">
        <v>1008</v>
      </c>
      <c r="J333" s="339"/>
      <c r="M333" s="276"/>
      <c r="N333" s="276"/>
      <c r="O333" s="60"/>
      <c r="P333" s="60"/>
      <c r="Q333" s="60"/>
      <c r="R333" s="60"/>
      <c r="S333" s="60"/>
      <c r="T333" s="60"/>
      <c r="U333" s="60"/>
    </row>
    <row r="334" spans="2:21">
      <c r="D334" s="57" t="s">
        <v>1009</v>
      </c>
      <c r="J334" s="339"/>
      <c r="M334" s="276"/>
      <c r="N334" s="276"/>
      <c r="O334" s="60"/>
      <c r="P334" s="60"/>
      <c r="Q334" s="60"/>
      <c r="R334" s="60"/>
      <c r="S334" s="60"/>
      <c r="T334" s="60"/>
      <c r="U334" s="60"/>
    </row>
    <row r="335" spans="2:21">
      <c r="D335" s="57" t="s">
        <v>948</v>
      </c>
      <c r="J335" s="339"/>
      <c r="M335" s="276"/>
      <c r="N335" s="276"/>
      <c r="O335" s="60"/>
      <c r="P335" s="60"/>
      <c r="Q335" s="60"/>
      <c r="R335" s="60"/>
      <c r="S335" s="60"/>
      <c r="T335" s="60"/>
      <c r="U335" s="60"/>
    </row>
    <row r="336" spans="2:21" ht="45" customHeight="1">
      <c r="D336" s="2180" t="s">
        <v>607</v>
      </c>
      <c r="E336" s="2180"/>
      <c r="F336" s="2180"/>
      <c r="G336" s="2180"/>
      <c r="H336" s="2180"/>
      <c r="I336" s="2180"/>
      <c r="J336" s="2180"/>
      <c r="M336" s="276"/>
      <c r="N336" s="276"/>
      <c r="O336" s="60"/>
      <c r="P336" s="60"/>
      <c r="Q336" s="60"/>
      <c r="R336" s="60"/>
      <c r="S336" s="60"/>
      <c r="T336" s="60"/>
      <c r="U336" s="60"/>
    </row>
    <row r="337" spans="2:21">
      <c r="D337" s="57"/>
      <c r="J337" s="339"/>
      <c r="M337" s="276"/>
      <c r="N337" s="276"/>
      <c r="O337" s="60"/>
      <c r="P337" s="60"/>
      <c r="Q337" s="60"/>
      <c r="R337" s="60"/>
      <c r="S337" s="60"/>
      <c r="T337" s="60"/>
      <c r="U337" s="60"/>
    </row>
    <row r="338" spans="2:21">
      <c r="B338" s="64" t="s">
        <v>652</v>
      </c>
      <c r="C338" s="65"/>
      <c r="D338" s="48" t="s">
        <v>730</v>
      </c>
      <c r="M338" s="276"/>
      <c r="N338" s="276"/>
      <c r="O338" s="60"/>
      <c r="P338" s="60"/>
      <c r="Q338" s="60"/>
      <c r="R338" s="60"/>
      <c r="S338" s="60"/>
      <c r="T338" s="60"/>
      <c r="U338" s="60"/>
    </row>
    <row r="339" spans="2:21">
      <c r="B339" s="64"/>
      <c r="C339" s="65"/>
      <c r="M339" s="276"/>
      <c r="N339" s="276"/>
      <c r="O339" s="60"/>
      <c r="P339" s="60"/>
      <c r="Q339" s="60"/>
      <c r="R339" s="60"/>
      <c r="S339" s="60"/>
      <c r="T339" s="60"/>
      <c r="U339" s="60"/>
    </row>
    <row r="340" spans="2:21" ht="33.75" customHeight="1">
      <c r="B340" s="413" t="s">
        <v>731</v>
      </c>
      <c r="C340" s="414"/>
      <c r="D340" s="2170" t="s">
        <v>761</v>
      </c>
      <c r="E340" s="2170"/>
      <c r="F340" s="2170"/>
      <c r="G340" s="2170"/>
      <c r="H340" s="2170"/>
      <c r="I340" s="2170"/>
      <c r="J340" s="2170"/>
      <c r="M340" s="276"/>
      <c r="N340" s="276"/>
      <c r="O340" s="60"/>
      <c r="P340" s="60"/>
      <c r="Q340" s="60"/>
      <c r="R340" s="60"/>
      <c r="S340" s="60"/>
      <c r="T340" s="60"/>
      <c r="U340" s="60"/>
    </row>
    <row r="341" spans="2:21" ht="52.5" customHeight="1">
      <c r="B341" s="413" t="s">
        <v>908</v>
      </c>
      <c r="C341" s="414"/>
      <c r="D341" s="2170" t="s">
        <v>909</v>
      </c>
      <c r="E341" s="2170"/>
      <c r="F341" s="2170"/>
      <c r="G341" s="2170"/>
      <c r="H341" s="2170"/>
      <c r="I341" s="2170"/>
      <c r="J341" s="2170"/>
      <c r="M341" s="276"/>
      <c r="N341" s="276"/>
      <c r="O341" s="60"/>
      <c r="P341" s="60"/>
      <c r="Q341" s="60"/>
      <c r="R341" s="60"/>
      <c r="S341" s="60"/>
      <c r="T341" s="60"/>
      <c r="U341" s="60"/>
    </row>
    <row r="342" spans="2:21" ht="51" customHeight="1">
      <c r="B342" s="413"/>
      <c r="C342" s="414"/>
      <c r="D342" s="2170"/>
      <c r="E342" s="2170"/>
      <c r="F342" s="2170"/>
      <c r="G342" s="2170"/>
      <c r="H342" s="2170"/>
      <c r="I342" s="2170"/>
      <c r="J342" s="2170"/>
      <c r="M342" s="276"/>
      <c r="N342" s="276"/>
      <c r="O342" s="60"/>
      <c r="P342" s="60"/>
      <c r="Q342" s="60"/>
      <c r="R342" s="60"/>
      <c r="S342" s="60"/>
      <c r="T342" s="60"/>
      <c r="U342" s="60"/>
    </row>
    <row r="343" spans="2:21">
      <c r="B343" s="276"/>
      <c r="C343" s="276"/>
      <c r="D343" s="276"/>
      <c r="E343" s="276"/>
      <c r="F343" s="276"/>
      <c r="G343" s="276"/>
      <c r="H343" s="276"/>
      <c r="M343" s="276"/>
      <c r="N343" s="276"/>
      <c r="O343" s="60"/>
      <c r="P343" s="60"/>
      <c r="Q343" s="60"/>
      <c r="R343" s="60"/>
      <c r="S343" s="60"/>
      <c r="T343" s="60"/>
      <c r="U343" s="60"/>
    </row>
    <row r="344" spans="2:21">
      <c r="B344" s="276"/>
      <c r="C344" s="276"/>
      <c r="D344" s="276"/>
      <c r="E344" s="276"/>
      <c r="F344" s="276"/>
      <c r="G344" s="276"/>
      <c r="H344" s="276"/>
      <c r="M344" s="276"/>
      <c r="N344" s="276"/>
      <c r="O344" s="60"/>
      <c r="P344" s="60"/>
      <c r="Q344" s="60"/>
      <c r="R344" s="60"/>
      <c r="S344" s="60"/>
      <c r="T344" s="60"/>
      <c r="U344" s="60"/>
    </row>
    <row r="345" spans="2:21">
      <c r="B345" s="276"/>
      <c r="C345" s="276"/>
      <c r="D345" s="276"/>
      <c r="E345" s="276"/>
      <c r="F345" s="276"/>
      <c r="G345" s="276"/>
      <c r="H345" s="276"/>
      <c r="M345" s="276"/>
      <c r="N345" s="276"/>
      <c r="O345" s="60"/>
      <c r="P345" s="60"/>
      <c r="Q345" s="60"/>
      <c r="R345" s="60"/>
      <c r="S345" s="60"/>
      <c r="T345" s="60"/>
      <c r="U345" s="60"/>
    </row>
    <row r="346" spans="2:21">
      <c r="B346" s="276"/>
      <c r="C346" s="276"/>
      <c r="D346" s="276"/>
      <c r="E346" s="276"/>
      <c r="F346" s="276"/>
      <c r="G346" s="276"/>
      <c r="H346" s="276"/>
      <c r="M346" s="276"/>
      <c r="N346" s="276"/>
      <c r="O346" s="60"/>
      <c r="P346" s="60"/>
      <c r="Q346" s="60"/>
      <c r="R346" s="60"/>
      <c r="S346" s="60"/>
      <c r="T346" s="60"/>
      <c r="U346" s="60"/>
    </row>
    <row r="347" spans="2:21">
      <c r="B347" s="276"/>
      <c r="C347" s="276"/>
      <c r="D347" s="276"/>
      <c r="E347" s="276"/>
      <c r="F347" s="276"/>
      <c r="G347" s="276"/>
      <c r="H347" s="276"/>
      <c r="M347" s="276"/>
      <c r="N347" s="276"/>
      <c r="O347" s="60"/>
      <c r="P347" s="60"/>
      <c r="Q347" s="60"/>
      <c r="R347" s="60"/>
      <c r="S347" s="60"/>
      <c r="T347" s="60"/>
      <c r="U347" s="60"/>
    </row>
    <row r="348" spans="2:21">
      <c r="B348" s="276"/>
      <c r="C348" s="276"/>
      <c r="D348" s="276"/>
      <c r="E348" s="276"/>
      <c r="F348" s="276"/>
      <c r="G348" s="276"/>
      <c r="H348" s="276"/>
      <c r="M348" s="276"/>
      <c r="N348" s="276"/>
      <c r="O348" s="60"/>
      <c r="P348" s="60"/>
      <c r="Q348" s="60"/>
      <c r="R348" s="60"/>
      <c r="S348" s="60"/>
      <c r="T348" s="60"/>
      <c r="U348" s="60"/>
    </row>
    <row r="349" spans="2:21">
      <c r="B349" s="276"/>
      <c r="C349" s="276"/>
      <c r="D349" s="276"/>
      <c r="E349" s="276"/>
      <c r="F349" s="276"/>
      <c r="G349" s="276"/>
      <c r="H349" s="276"/>
      <c r="M349" s="276"/>
      <c r="N349" s="276"/>
      <c r="O349" s="60"/>
      <c r="P349" s="60"/>
      <c r="Q349" s="60"/>
      <c r="R349" s="60"/>
      <c r="S349" s="60"/>
      <c r="T349" s="60"/>
      <c r="U349" s="60"/>
    </row>
    <row r="350" spans="2:21">
      <c r="B350" s="276"/>
      <c r="C350" s="276"/>
      <c r="D350" s="276"/>
      <c r="E350" s="276"/>
      <c r="F350" s="276"/>
      <c r="G350" s="276"/>
      <c r="H350" s="276"/>
      <c r="M350" s="276"/>
      <c r="N350" s="276"/>
      <c r="O350" s="60"/>
      <c r="P350" s="60"/>
      <c r="Q350" s="60"/>
      <c r="R350" s="60"/>
      <c r="S350" s="60"/>
      <c r="T350" s="60"/>
      <c r="U350" s="60"/>
    </row>
    <row r="351" spans="2:21">
      <c r="B351" s="64"/>
      <c r="C351" s="65"/>
      <c r="M351" s="276"/>
      <c r="N351" s="276"/>
      <c r="O351" s="60"/>
      <c r="P351" s="60"/>
      <c r="Q351" s="60"/>
      <c r="R351" s="60"/>
      <c r="S351" s="60"/>
      <c r="T351" s="60"/>
      <c r="U351" s="60"/>
    </row>
    <row r="352" spans="2:21">
      <c r="B352" s="53"/>
      <c r="M352" s="276"/>
      <c r="N352" s="276"/>
      <c r="O352" s="60"/>
      <c r="P352" s="60"/>
      <c r="Q352" s="60"/>
      <c r="R352" s="60"/>
      <c r="S352" s="60"/>
      <c r="T352" s="60"/>
      <c r="U352" s="60"/>
    </row>
    <row r="353" spans="2:21">
      <c r="B353" s="53"/>
      <c r="M353" s="276"/>
      <c r="N353" s="276"/>
      <c r="O353" s="60"/>
      <c r="P353" s="60"/>
      <c r="Q353" s="60"/>
      <c r="R353" s="60"/>
      <c r="S353" s="60"/>
      <c r="T353" s="60"/>
      <c r="U353" s="60"/>
    </row>
    <row r="354" spans="2:21">
      <c r="B354" s="53"/>
      <c r="M354" s="276"/>
      <c r="N354" s="276"/>
      <c r="O354" s="60"/>
      <c r="P354" s="60"/>
      <c r="Q354" s="60"/>
      <c r="R354" s="60"/>
      <c r="S354" s="60"/>
      <c r="T354" s="60"/>
      <c r="U354" s="60"/>
    </row>
    <row r="355" spans="2:21">
      <c r="B355" s="53"/>
      <c r="H355" s="60"/>
      <c r="I355" s="60"/>
      <c r="J355" s="60"/>
      <c r="K355" s="60"/>
      <c r="L355" s="60"/>
      <c r="M355" s="276"/>
      <c r="N355" s="276"/>
      <c r="O355" s="60"/>
      <c r="P355" s="60"/>
      <c r="Q355" s="60"/>
      <c r="R355" s="60"/>
      <c r="S355" s="60"/>
      <c r="T355" s="60"/>
      <c r="U355" s="60"/>
    </row>
    <row r="356" spans="2:21">
      <c r="B356" s="53"/>
      <c r="H356" s="60"/>
      <c r="K356" s="60"/>
      <c r="L356" s="60"/>
      <c r="M356" s="276"/>
      <c r="N356" s="276"/>
      <c r="O356" s="60"/>
      <c r="P356" s="60"/>
      <c r="Q356" s="60"/>
      <c r="R356" s="60"/>
      <c r="S356" s="60"/>
      <c r="T356" s="60"/>
      <c r="U356" s="60"/>
    </row>
    <row r="357" spans="2:21">
      <c r="B357" s="53"/>
      <c r="H357" s="60"/>
      <c r="I357" s="60"/>
      <c r="J357" s="415"/>
      <c r="K357" s="60"/>
      <c r="L357" s="60"/>
      <c r="M357" s="276"/>
      <c r="N357" s="276"/>
      <c r="O357" s="60"/>
      <c r="P357" s="60"/>
      <c r="Q357" s="60"/>
      <c r="R357" s="60"/>
      <c r="S357" s="60"/>
      <c r="T357" s="60"/>
      <c r="U357" s="60"/>
    </row>
    <row r="358" spans="2:21">
      <c r="B358" s="53"/>
      <c r="H358" s="60"/>
      <c r="I358" s="65"/>
      <c r="J358" s="415"/>
      <c r="K358" s="60"/>
      <c r="L358" s="60"/>
      <c r="M358" s="276"/>
      <c r="N358" s="276"/>
      <c r="O358" s="60"/>
      <c r="P358" s="60"/>
      <c r="Q358" s="60"/>
      <c r="R358" s="60"/>
      <c r="S358" s="60"/>
      <c r="T358" s="60"/>
      <c r="U358" s="60"/>
    </row>
    <row r="359" spans="2:21">
      <c r="B359" s="53"/>
      <c r="H359" s="60"/>
      <c r="I359" s="65"/>
      <c r="J359" s="415"/>
      <c r="K359" s="60"/>
      <c r="L359" s="60"/>
      <c r="M359" s="276"/>
      <c r="N359" s="276"/>
      <c r="O359" s="60"/>
      <c r="P359" s="60"/>
      <c r="Q359" s="60"/>
      <c r="R359" s="60"/>
      <c r="S359" s="60"/>
      <c r="T359" s="60"/>
      <c r="U359" s="60"/>
    </row>
    <row r="360" spans="2:21">
      <c r="B360" s="53"/>
      <c r="H360" s="60"/>
      <c r="I360" s="65"/>
      <c r="J360" s="415"/>
      <c r="K360" s="60"/>
      <c r="L360" s="60"/>
      <c r="M360" s="276"/>
      <c r="N360" s="276"/>
      <c r="O360" s="60"/>
      <c r="P360" s="60"/>
      <c r="Q360" s="60"/>
      <c r="R360" s="60"/>
      <c r="S360" s="60"/>
      <c r="T360" s="60"/>
      <c r="U360" s="60"/>
    </row>
    <row r="361" spans="2:21">
      <c r="B361" s="106"/>
      <c r="C361" s="60"/>
      <c r="D361" s="60"/>
      <c r="E361" s="60"/>
      <c r="F361" s="60"/>
      <c r="G361" s="60"/>
      <c r="H361" s="60"/>
      <c r="I361" s="65"/>
      <c r="J361" s="416"/>
      <c r="K361" s="60"/>
      <c r="L361" s="60"/>
      <c r="M361" s="276"/>
      <c r="N361" s="276"/>
      <c r="O361" s="60"/>
      <c r="P361" s="60"/>
      <c r="Q361" s="60"/>
      <c r="R361" s="60"/>
      <c r="S361" s="60"/>
      <c r="T361" s="60"/>
      <c r="U361" s="60"/>
    </row>
    <row r="362" spans="2:21">
      <c r="B362" s="106"/>
      <c r="C362" s="60"/>
      <c r="D362" s="60"/>
      <c r="E362" s="60"/>
      <c r="F362" s="60"/>
      <c r="G362" s="60"/>
      <c r="H362" s="60"/>
      <c r="I362" s="65"/>
      <c r="J362" s="415"/>
      <c r="K362" s="60"/>
      <c r="L362" s="60"/>
      <c r="M362" s="276"/>
      <c r="N362" s="276"/>
      <c r="O362" s="60"/>
      <c r="P362" s="60"/>
      <c r="Q362" s="60"/>
      <c r="R362" s="60"/>
      <c r="S362" s="60"/>
      <c r="T362" s="60"/>
      <c r="U362" s="60"/>
    </row>
    <row r="363" spans="2:21">
      <c r="B363" s="106"/>
      <c r="C363" s="60"/>
      <c r="D363" s="60"/>
      <c r="E363" s="60"/>
      <c r="F363" s="60"/>
      <c r="G363" s="60"/>
      <c r="H363" s="60"/>
      <c r="I363" s="65"/>
      <c r="J363" s="415"/>
      <c r="K363" s="60"/>
      <c r="L363" s="60"/>
      <c r="M363" s="276"/>
      <c r="N363" s="276"/>
      <c r="O363" s="60"/>
      <c r="P363" s="60"/>
      <c r="Q363" s="60"/>
      <c r="R363" s="60"/>
      <c r="S363" s="60"/>
      <c r="T363" s="60"/>
      <c r="U363" s="60"/>
    </row>
    <row r="364" spans="2:21">
      <c r="I364" s="65"/>
      <c r="J364" s="415"/>
      <c r="M364" s="276"/>
      <c r="N364" s="276"/>
    </row>
    <row r="365" spans="2:21">
      <c r="I365" s="65"/>
      <c r="J365" s="415"/>
      <c r="M365" s="276"/>
      <c r="N365" s="276"/>
    </row>
    <row r="366" spans="2:21">
      <c r="M366" s="276"/>
      <c r="N366" s="276"/>
    </row>
    <row r="367" spans="2:21">
      <c r="M367" s="276"/>
      <c r="N367" s="276"/>
    </row>
    <row r="368" spans="2:21">
      <c r="M368" s="276"/>
      <c r="N368" s="276"/>
    </row>
    <row r="369" spans="13:14">
      <c r="M369" s="276"/>
      <c r="N369" s="276"/>
    </row>
    <row r="370" spans="13:14">
      <c r="M370" s="276"/>
      <c r="N370" s="276"/>
    </row>
    <row r="371" spans="13:14">
      <c r="M371" s="276"/>
      <c r="N371" s="276"/>
    </row>
    <row r="372" spans="13:14">
      <c r="M372" s="276"/>
      <c r="N372" s="276"/>
    </row>
    <row r="373" spans="13:14">
      <c r="M373" s="276"/>
      <c r="N373" s="276"/>
    </row>
    <row r="374" spans="13:14">
      <c r="M374" s="276"/>
      <c r="N374" s="276"/>
    </row>
    <row r="375" spans="13:14">
      <c r="M375" s="276"/>
      <c r="N375" s="276"/>
    </row>
    <row r="376" spans="13:14">
      <c r="M376" s="276"/>
      <c r="N376" s="276"/>
    </row>
    <row r="377" spans="13:14">
      <c r="M377" s="276"/>
      <c r="N377" s="276"/>
    </row>
    <row r="378" spans="13:14">
      <c r="M378" s="276"/>
      <c r="N378" s="276"/>
    </row>
    <row r="379" spans="13:14">
      <c r="M379" s="276"/>
      <c r="N379" s="276"/>
    </row>
    <row r="380" spans="13:14">
      <c r="M380" s="276"/>
      <c r="N380" s="276"/>
    </row>
    <row r="381" spans="13:14">
      <c r="M381" s="276"/>
      <c r="N381" s="276"/>
    </row>
    <row r="382" spans="13:14">
      <c r="M382" s="276"/>
      <c r="N382" s="276"/>
    </row>
    <row r="383" spans="13:14">
      <c r="M383" s="276"/>
      <c r="N383" s="276"/>
    </row>
    <row r="384" spans="13:14">
      <c r="M384" s="276"/>
      <c r="N384" s="276"/>
    </row>
    <row r="385" spans="13:14">
      <c r="M385" s="276"/>
      <c r="N385" s="276"/>
    </row>
    <row r="386" spans="13:14">
      <c r="M386" s="276"/>
      <c r="N386" s="276"/>
    </row>
    <row r="387" spans="13:14">
      <c r="M387" s="276"/>
      <c r="N387" s="276"/>
    </row>
    <row r="388" spans="13:14">
      <c r="M388" s="276"/>
      <c r="N388" s="276"/>
    </row>
    <row r="389" spans="13:14">
      <c r="M389" s="276"/>
      <c r="N389" s="276"/>
    </row>
    <row r="390" spans="13:14">
      <c r="M390" s="276"/>
      <c r="N390" s="276"/>
    </row>
    <row r="391" spans="13:14">
      <c r="M391" s="276"/>
      <c r="N391" s="276"/>
    </row>
    <row r="392" spans="13:14">
      <c r="M392" s="276"/>
      <c r="N392" s="276"/>
    </row>
    <row r="393" spans="13:14">
      <c r="M393" s="276"/>
      <c r="N393" s="276"/>
    </row>
    <row r="394" spans="13:14">
      <c r="M394" s="276"/>
      <c r="N394" s="276"/>
    </row>
    <row r="395" spans="13:14">
      <c r="M395" s="276"/>
      <c r="N395" s="276"/>
    </row>
    <row r="396" spans="13:14">
      <c r="M396" s="276"/>
      <c r="N396" s="276"/>
    </row>
    <row r="397" spans="13:14">
      <c r="M397" s="276"/>
      <c r="N397" s="276"/>
    </row>
    <row r="398" spans="13:14">
      <c r="M398" s="276"/>
      <c r="N398" s="276"/>
    </row>
    <row r="399" spans="13:14">
      <c r="M399" s="276"/>
      <c r="N399" s="276"/>
    </row>
    <row r="400" spans="13:14">
      <c r="M400" s="276"/>
      <c r="N400" s="276"/>
    </row>
    <row r="401" spans="13:14">
      <c r="M401" s="276"/>
      <c r="N401" s="276"/>
    </row>
    <row r="402" spans="13:14">
      <c r="M402" s="276"/>
      <c r="N402" s="276"/>
    </row>
    <row r="403" spans="13:14">
      <c r="M403" s="276"/>
      <c r="N403" s="276"/>
    </row>
    <row r="404" spans="13:14">
      <c r="M404" s="276"/>
      <c r="N404" s="276"/>
    </row>
    <row r="405" spans="13:14">
      <c r="M405" s="276"/>
      <c r="N405" s="276"/>
    </row>
    <row r="406" spans="13:14">
      <c r="M406" s="276"/>
      <c r="N406" s="276"/>
    </row>
    <row r="407" spans="13:14">
      <c r="M407" s="276"/>
      <c r="N407" s="276"/>
    </row>
    <row r="408" spans="13:14">
      <c r="M408" s="276"/>
      <c r="N408" s="276"/>
    </row>
    <row r="409" spans="13:14">
      <c r="M409" s="276"/>
      <c r="N409" s="276"/>
    </row>
    <row r="410" spans="13:14">
      <c r="M410" s="276"/>
      <c r="N410" s="276"/>
    </row>
    <row r="411" spans="13:14">
      <c r="M411" s="276"/>
      <c r="N411" s="276"/>
    </row>
    <row r="412" spans="13:14">
      <c r="M412" s="276"/>
      <c r="N412" s="276"/>
    </row>
    <row r="413" spans="13:14">
      <c r="M413" s="276"/>
      <c r="N413" s="276"/>
    </row>
    <row r="414" spans="13:14">
      <c r="M414" s="276"/>
      <c r="N414" s="276"/>
    </row>
    <row r="415" spans="13:14">
      <c r="M415" s="276"/>
      <c r="N415" s="276"/>
    </row>
    <row r="416" spans="13:14">
      <c r="M416" s="276"/>
      <c r="N416" s="276"/>
    </row>
    <row r="417" spans="13:14">
      <c r="M417" s="276"/>
      <c r="N417" s="276"/>
    </row>
    <row r="418" spans="13:14">
      <c r="M418" s="276"/>
      <c r="N418" s="276"/>
    </row>
    <row r="419" spans="13:14">
      <c r="M419" s="276"/>
      <c r="N419" s="276"/>
    </row>
    <row r="420" spans="13:14">
      <c r="M420" s="276"/>
      <c r="N420" s="276"/>
    </row>
    <row r="421" spans="13:14">
      <c r="M421" s="276"/>
      <c r="N421" s="276"/>
    </row>
    <row r="422" spans="13:14">
      <c r="M422" s="276"/>
      <c r="N422" s="276"/>
    </row>
    <row r="423" spans="13:14">
      <c r="M423" s="276"/>
      <c r="N423" s="276"/>
    </row>
    <row r="424" spans="13:14">
      <c r="M424" s="276"/>
      <c r="N424" s="276"/>
    </row>
    <row r="425" spans="13:14">
      <c r="M425" s="276"/>
      <c r="N425" s="276"/>
    </row>
    <row r="426" spans="13:14">
      <c r="M426" s="276"/>
      <c r="N426" s="276"/>
    </row>
    <row r="427" spans="13:14">
      <c r="M427" s="276"/>
      <c r="N427" s="276"/>
    </row>
    <row r="428" spans="13:14">
      <c r="M428" s="276"/>
      <c r="N428" s="276"/>
    </row>
    <row r="429" spans="13:14">
      <c r="M429" s="276"/>
      <c r="N429" s="276"/>
    </row>
    <row r="430" spans="13:14">
      <c r="M430" s="276"/>
      <c r="N430" s="276"/>
    </row>
    <row r="431" spans="13:14">
      <c r="M431" s="276"/>
      <c r="N431" s="276"/>
    </row>
    <row r="432" spans="13:14">
      <c r="M432" s="276"/>
      <c r="N432" s="276"/>
    </row>
    <row r="433" spans="13:14">
      <c r="M433" s="276"/>
      <c r="N433" s="276"/>
    </row>
    <row r="434" spans="13:14">
      <c r="M434" s="276"/>
      <c r="N434" s="276"/>
    </row>
    <row r="435" spans="13:14">
      <c r="M435" s="276"/>
      <c r="N435" s="276"/>
    </row>
    <row r="436" spans="13:14">
      <c r="M436" s="276"/>
      <c r="N436" s="276"/>
    </row>
    <row r="437" spans="13:14">
      <c r="M437" s="276"/>
      <c r="N437" s="276"/>
    </row>
    <row r="438" spans="13:14">
      <c r="M438" s="276"/>
      <c r="N438" s="276"/>
    </row>
    <row r="439" spans="13:14">
      <c r="M439" s="276"/>
      <c r="N439" s="276"/>
    </row>
    <row r="440" spans="13:14">
      <c r="M440" s="276"/>
      <c r="N440" s="276"/>
    </row>
    <row r="441" spans="13:14">
      <c r="M441" s="276"/>
      <c r="N441" s="276"/>
    </row>
    <row r="442" spans="13:14">
      <c r="M442" s="276"/>
      <c r="N442" s="276"/>
    </row>
    <row r="443" spans="13:14">
      <c r="M443" s="276"/>
      <c r="N443" s="276"/>
    </row>
    <row r="444" spans="13:14">
      <c r="M444" s="276"/>
      <c r="N444" s="276"/>
    </row>
    <row r="445" spans="13:14">
      <c r="M445" s="276"/>
      <c r="N445" s="276"/>
    </row>
    <row r="446" spans="13:14">
      <c r="M446" s="276"/>
      <c r="N446" s="276"/>
    </row>
    <row r="447" spans="13:14">
      <c r="M447" s="276"/>
      <c r="N447" s="276"/>
    </row>
    <row r="448" spans="13:14">
      <c r="M448" s="276"/>
      <c r="N448" s="276"/>
    </row>
    <row r="449" spans="13:14">
      <c r="M449" s="276"/>
      <c r="N449" s="276"/>
    </row>
    <row r="450" spans="13:14">
      <c r="M450" s="276"/>
      <c r="N450" s="276"/>
    </row>
    <row r="451" spans="13:14">
      <c r="M451" s="276"/>
      <c r="N451" s="276"/>
    </row>
    <row r="452" spans="13:14">
      <c r="M452" s="276"/>
      <c r="N452" s="276"/>
    </row>
    <row r="453" spans="13:14">
      <c r="M453" s="276"/>
      <c r="N453" s="276"/>
    </row>
    <row r="454" spans="13:14">
      <c r="M454" s="276"/>
      <c r="N454" s="276"/>
    </row>
    <row r="455" spans="13:14">
      <c r="M455" s="276"/>
      <c r="N455" s="276"/>
    </row>
    <row r="456" spans="13:14">
      <c r="M456" s="276"/>
      <c r="N456" s="276"/>
    </row>
    <row r="457" spans="13:14">
      <c r="M457" s="276"/>
      <c r="N457" s="276"/>
    </row>
    <row r="458" spans="13:14">
      <c r="M458" s="276"/>
      <c r="N458" s="276"/>
    </row>
    <row r="459" spans="13:14">
      <c r="M459" s="276"/>
      <c r="N459" s="276"/>
    </row>
    <row r="460" spans="13:14">
      <c r="M460" s="276"/>
      <c r="N460" s="276"/>
    </row>
    <row r="461" spans="13:14">
      <c r="M461" s="276"/>
      <c r="N461" s="276"/>
    </row>
    <row r="462" spans="13:14">
      <c r="M462" s="276"/>
      <c r="N462" s="276"/>
    </row>
    <row r="463" spans="13:14">
      <c r="M463" s="276"/>
      <c r="N463" s="276"/>
    </row>
    <row r="464" spans="13:14">
      <c r="M464" s="276"/>
      <c r="N464" s="276"/>
    </row>
    <row r="465" spans="13:14">
      <c r="M465" s="276"/>
      <c r="N465" s="276"/>
    </row>
    <row r="466" spans="13:14">
      <c r="M466" s="276"/>
      <c r="N466" s="276"/>
    </row>
    <row r="467" spans="13:14">
      <c r="M467" s="276"/>
      <c r="N467" s="276"/>
    </row>
    <row r="468" spans="13:14">
      <c r="M468" s="276"/>
      <c r="N468" s="276"/>
    </row>
    <row r="469" spans="13:14">
      <c r="M469" s="276"/>
      <c r="N469" s="276"/>
    </row>
    <row r="470" spans="13:14">
      <c r="M470" s="276"/>
      <c r="N470" s="276"/>
    </row>
    <row r="471" spans="13:14">
      <c r="M471" s="276"/>
      <c r="N471" s="276"/>
    </row>
    <row r="472" spans="13:14">
      <c r="M472" s="276"/>
      <c r="N472" s="276"/>
    </row>
    <row r="473" spans="13:14">
      <c r="M473" s="276"/>
      <c r="N473" s="276"/>
    </row>
    <row r="474" spans="13:14">
      <c r="M474" s="276"/>
      <c r="N474" s="276"/>
    </row>
    <row r="475" spans="13:14">
      <c r="M475" s="276"/>
      <c r="N475" s="276"/>
    </row>
    <row r="476" spans="13:14">
      <c r="M476" s="276"/>
      <c r="N476" s="276"/>
    </row>
    <row r="477" spans="13:14">
      <c r="M477" s="276"/>
      <c r="N477" s="276"/>
    </row>
    <row r="478" spans="13:14">
      <c r="M478" s="276"/>
      <c r="N478" s="276"/>
    </row>
    <row r="479" spans="13:14">
      <c r="M479" s="276"/>
      <c r="N479" s="276"/>
    </row>
    <row r="480" spans="13:14">
      <c r="M480" s="276"/>
      <c r="N480" s="276"/>
    </row>
    <row r="481" spans="13:14">
      <c r="M481" s="276"/>
      <c r="N481" s="276"/>
    </row>
    <row r="482" spans="13:14">
      <c r="M482" s="276"/>
      <c r="N482" s="276"/>
    </row>
    <row r="483" spans="13:14">
      <c r="M483" s="276"/>
      <c r="N483" s="276"/>
    </row>
    <row r="484" spans="13:14">
      <c r="M484" s="276"/>
      <c r="N484" s="276"/>
    </row>
    <row r="485" spans="13:14">
      <c r="M485" s="276"/>
      <c r="N485" s="276"/>
    </row>
    <row r="486" spans="13:14">
      <c r="M486" s="276"/>
      <c r="N486" s="276"/>
    </row>
    <row r="487" spans="13:14">
      <c r="M487" s="276"/>
      <c r="N487" s="276"/>
    </row>
    <row r="488" spans="13:14">
      <c r="M488" s="276"/>
      <c r="N488" s="276"/>
    </row>
    <row r="489" spans="13:14">
      <c r="M489" s="276"/>
      <c r="N489" s="276"/>
    </row>
    <row r="490" spans="13:14">
      <c r="M490" s="276"/>
      <c r="N490" s="276"/>
    </row>
    <row r="491" spans="13:14">
      <c r="M491" s="276"/>
      <c r="N491" s="276"/>
    </row>
    <row r="492" spans="13:14">
      <c r="M492" s="276"/>
      <c r="N492" s="276"/>
    </row>
    <row r="493" spans="13:14">
      <c r="M493" s="276"/>
      <c r="N493" s="276"/>
    </row>
    <row r="494" spans="13:14">
      <c r="M494" s="276"/>
      <c r="N494" s="276"/>
    </row>
    <row r="495" spans="13:14">
      <c r="M495" s="276"/>
      <c r="N495" s="276"/>
    </row>
    <row r="496" spans="13:14">
      <c r="M496" s="276"/>
      <c r="N496" s="276"/>
    </row>
    <row r="497" spans="13:14">
      <c r="M497" s="276"/>
      <c r="N497" s="276"/>
    </row>
    <row r="498" spans="13:14">
      <c r="M498" s="276"/>
      <c r="N498" s="276"/>
    </row>
    <row r="499" spans="13:14">
      <c r="M499" s="276"/>
      <c r="N499" s="276"/>
    </row>
    <row r="500" spans="13:14">
      <c r="M500" s="276"/>
      <c r="N500" s="276"/>
    </row>
    <row r="501" spans="13:14">
      <c r="M501" s="276"/>
      <c r="N501" s="276"/>
    </row>
    <row r="502" spans="13:14">
      <c r="M502" s="276"/>
      <c r="N502" s="276"/>
    </row>
    <row r="503" spans="13:14">
      <c r="M503" s="276"/>
      <c r="N503" s="276"/>
    </row>
    <row r="504" spans="13:14">
      <c r="M504" s="276"/>
      <c r="N504" s="276"/>
    </row>
    <row r="505" spans="13:14">
      <c r="M505" s="276"/>
      <c r="N505" s="276"/>
    </row>
    <row r="506" spans="13:14">
      <c r="M506" s="276"/>
      <c r="N506" s="276"/>
    </row>
    <row r="507" spans="13:14">
      <c r="M507" s="276"/>
      <c r="N507" s="276"/>
    </row>
    <row r="508" spans="13:14">
      <c r="M508" s="276"/>
      <c r="N508" s="276"/>
    </row>
    <row r="509" spans="13:14">
      <c r="M509" s="276"/>
      <c r="N509" s="276"/>
    </row>
    <row r="510" spans="13:14">
      <c r="M510" s="276"/>
      <c r="N510" s="276"/>
    </row>
    <row r="511" spans="13:14">
      <c r="M511" s="276"/>
      <c r="N511" s="276"/>
    </row>
    <row r="512" spans="13:14">
      <c r="M512" s="276"/>
      <c r="N512" s="276"/>
    </row>
    <row r="513" spans="13:14">
      <c r="M513" s="276"/>
      <c r="N513" s="276"/>
    </row>
    <row r="514" spans="13:14">
      <c r="M514" s="276"/>
      <c r="N514" s="276"/>
    </row>
    <row r="515" spans="13:14">
      <c r="M515" s="276"/>
      <c r="N515" s="276"/>
    </row>
    <row r="516" spans="13:14">
      <c r="M516" s="276"/>
      <c r="N516" s="276"/>
    </row>
    <row r="517" spans="13:14">
      <c r="M517" s="276"/>
      <c r="N517" s="276"/>
    </row>
    <row r="518" spans="13:14">
      <c r="M518" s="276"/>
      <c r="N518" s="276"/>
    </row>
    <row r="519" spans="13:14">
      <c r="M519" s="276"/>
      <c r="N519" s="276"/>
    </row>
    <row r="520" spans="13:14">
      <c r="M520" s="276"/>
      <c r="N520" s="276"/>
    </row>
    <row r="521" spans="13:14">
      <c r="M521" s="276"/>
      <c r="N521" s="276"/>
    </row>
  </sheetData>
  <mergeCells count="16">
    <mergeCell ref="I125:J125"/>
    <mergeCell ref="B20:I21"/>
    <mergeCell ref="D23:E24"/>
    <mergeCell ref="I48:J48"/>
    <mergeCell ref="I51:J51"/>
    <mergeCell ref="I122:J122"/>
    <mergeCell ref="D341:J341"/>
    <mergeCell ref="D342:J342"/>
    <mergeCell ref="D336:J336"/>
    <mergeCell ref="D340:J340"/>
    <mergeCell ref="D280:J281"/>
    <mergeCell ref="D296:J296"/>
    <mergeCell ref="D307:J307"/>
    <mergeCell ref="D309:J309"/>
    <mergeCell ref="D320:J320"/>
    <mergeCell ref="D326:J326"/>
  </mergeCells>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7"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57"/>
  <sheetViews>
    <sheetView zoomScaleNormal="100" zoomScaleSheetLayoutView="70" zoomScalePageLayoutView="80" workbookViewId="0">
      <selection activeCell="H11" sqref="H11"/>
    </sheetView>
  </sheetViews>
  <sheetFormatPr defaultColWidth="11.42578125" defaultRowHeight="12.75"/>
  <cols>
    <col min="1" max="1" width="10.28515625" style="1438" customWidth="1"/>
    <col min="2" max="2" width="39.7109375" style="1411" customWidth="1"/>
    <col min="3" max="3" width="21.28515625" style="1411" customWidth="1"/>
    <col min="4" max="4" width="19.28515625" style="1411" customWidth="1"/>
    <col min="5" max="5" width="18.7109375" style="1411" customWidth="1"/>
    <col min="6" max="6" width="18" style="1411" customWidth="1"/>
    <col min="7" max="7" width="20.28515625" style="1411" customWidth="1"/>
    <col min="8" max="8" width="17.28515625" style="1411" customWidth="1"/>
    <col min="9" max="9" width="16" style="1411" customWidth="1"/>
    <col min="10" max="15" width="20.28515625" style="1411" customWidth="1"/>
    <col min="16" max="16" width="20" style="1411" customWidth="1"/>
    <col min="17" max="18" width="15.28515625" style="1411" customWidth="1"/>
    <col min="19" max="16384" width="11.42578125" style="1411"/>
  </cols>
  <sheetData>
    <row r="1" spans="1:16" ht="15">
      <c r="A1" s="1410"/>
    </row>
    <row r="2" spans="1:16" ht="15">
      <c r="A2" s="2302" t="str">
        <f>'SWT TCOS'!F4</f>
        <v xml:space="preserve">AEP West SPP Member Transmission Companies </v>
      </c>
      <c r="B2" s="2302"/>
      <c r="C2" s="2302"/>
      <c r="D2" s="2302"/>
      <c r="E2" s="2302"/>
      <c r="F2" s="2302"/>
      <c r="G2" s="2302"/>
      <c r="H2" s="2302"/>
      <c r="I2" s="1412"/>
      <c r="J2" s="1412"/>
      <c r="K2" s="1412"/>
      <c r="L2" s="1413"/>
      <c r="M2" s="1413"/>
    </row>
    <row r="3" spans="1:16" ht="15">
      <c r="A3" s="2302" t="str">
        <f>"Actual / Projected "&amp;'SWT TCOS'!$N$2&amp;" Rate Year Cost of Service Formula Rate "</f>
        <v xml:space="preserve">Actual / Projected 2022 Rate Year Cost of Service Formula Rate </v>
      </c>
      <c r="B3" s="2302"/>
      <c r="C3" s="2302"/>
      <c r="D3" s="2302"/>
      <c r="E3" s="2302"/>
      <c r="F3" s="2302"/>
      <c r="G3" s="2302"/>
      <c r="H3" s="2302"/>
      <c r="I3" s="1412"/>
      <c r="J3" s="1412"/>
      <c r="K3" s="1412"/>
      <c r="L3" s="1413"/>
      <c r="M3" s="1413"/>
      <c r="N3" s="1413"/>
      <c r="P3" s="1414"/>
    </row>
    <row r="4" spans="1:16" ht="15.75">
      <c r="A4" s="2303" t="s">
        <v>725</v>
      </c>
      <c r="B4" s="2303"/>
      <c r="C4" s="2303"/>
      <c r="D4" s="2303"/>
      <c r="E4" s="2303"/>
      <c r="F4" s="2303"/>
      <c r="G4" s="2303"/>
      <c r="H4" s="2303"/>
      <c r="I4" s="1412"/>
      <c r="J4" s="1412"/>
      <c r="K4" s="1412"/>
      <c r="L4" s="1413"/>
      <c r="M4" s="1413"/>
      <c r="N4" s="1413"/>
    </row>
    <row r="5" spans="1:16" ht="15.75">
      <c r="A5" s="2304" t="str">
        <f>+'SWT TCOS'!$F$8</f>
        <v>AEP SOUTHWESTERN TRANSMISSION COMPANY</v>
      </c>
      <c r="B5" s="2304"/>
      <c r="C5" s="2304"/>
      <c r="D5" s="2304"/>
      <c r="E5" s="2304"/>
      <c r="F5" s="2304"/>
      <c r="G5" s="2304"/>
      <c r="H5" s="2304"/>
      <c r="I5" s="1415"/>
      <c r="J5" s="1415"/>
      <c r="K5" s="1415"/>
      <c r="L5" s="1413"/>
      <c r="M5" s="1413"/>
      <c r="N5" s="1413"/>
    </row>
    <row r="6" spans="1:16">
      <c r="A6" s="1413"/>
      <c r="B6" s="1211"/>
      <c r="C6" s="1211"/>
      <c r="D6" s="1211"/>
      <c r="E6" s="1211"/>
      <c r="F6" s="1211"/>
      <c r="G6" s="1211"/>
      <c r="H6" s="1211"/>
      <c r="I6" s="1416"/>
      <c r="J6" s="1417"/>
      <c r="L6" s="1417"/>
      <c r="N6" s="1417"/>
      <c r="P6" s="1417"/>
    </row>
    <row r="7" spans="1:16" ht="12.75" customHeight="1">
      <c r="A7" s="1413"/>
      <c r="B7" s="1211"/>
      <c r="C7" s="2273" t="s">
        <v>718</v>
      </c>
      <c r="D7" s="2274"/>
      <c r="E7" s="2274"/>
      <c r="F7" s="2274"/>
      <c r="G7" s="2274"/>
      <c r="H7" s="2275"/>
      <c r="I7" s="131"/>
      <c r="J7" s="131"/>
      <c r="K7" s="131"/>
      <c r="L7" s="131"/>
      <c r="M7" s="131"/>
      <c r="N7" s="131"/>
      <c r="O7" s="131"/>
      <c r="P7" s="1418"/>
    </row>
    <row r="8" spans="1:16" s="1421" customFormat="1" ht="25.5">
      <c r="A8" s="1419" t="s">
        <v>693</v>
      </c>
      <c r="B8" s="1213" t="s">
        <v>676</v>
      </c>
      <c r="C8" s="1214" t="s">
        <v>694</v>
      </c>
      <c r="D8" s="1215" t="s">
        <v>695</v>
      </c>
      <c r="E8" s="1215" t="s">
        <v>252</v>
      </c>
      <c r="F8" s="1215" t="s">
        <v>696</v>
      </c>
      <c r="G8" s="1215" t="s">
        <v>697</v>
      </c>
      <c r="H8" s="1420" t="s">
        <v>698</v>
      </c>
      <c r="I8" s="131"/>
      <c r="J8" s="131"/>
      <c r="K8" s="131"/>
      <c r="L8" s="131"/>
      <c r="M8" s="131"/>
      <c r="N8" s="131"/>
      <c r="O8" s="131"/>
      <c r="P8" s="1418"/>
    </row>
    <row r="9" spans="1:16" s="1423" customFormat="1">
      <c r="A9" s="1422"/>
      <c r="B9" s="1219" t="s">
        <v>702</v>
      </c>
      <c r="C9" s="1220" t="s">
        <v>703</v>
      </c>
      <c r="D9" s="1221" t="s">
        <v>704</v>
      </c>
      <c r="E9" s="1221" t="s">
        <v>705</v>
      </c>
      <c r="F9" s="1221" t="s">
        <v>706</v>
      </c>
      <c r="G9" s="1221" t="s">
        <v>707</v>
      </c>
      <c r="H9" s="1219" t="s">
        <v>708</v>
      </c>
      <c r="I9" s="131"/>
      <c r="J9" s="131"/>
      <c r="K9" s="131"/>
      <c r="L9" s="131"/>
      <c r="M9" s="131"/>
      <c r="N9" s="131"/>
      <c r="O9" s="131"/>
      <c r="P9" s="1418"/>
    </row>
    <row r="10" spans="1:16" s="1423" customFormat="1" ht="44.25" customHeight="1">
      <c r="A10" s="1422"/>
      <c r="B10" s="1219"/>
      <c r="C10" s="1424" t="s">
        <v>63</v>
      </c>
      <c r="D10" s="1425" t="s">
        <v>68</v>
      </c>
      <c r="E10" s="1425" t="s">
        <v>64</v>
      </c>
      <c r="F10" s="1425" t="s">
        <v>709</v>
      </c>
      <c r="G10" s="1425" t="s">
        <v>65</v>
      </c>
      <c r="H10" s="1426" t="s">
        <v>66</v>
      </c>
      <c r="I10" s="131"/>
      <c r="J10" s="131"/>
      <c r="K10" s="131"/>
      <c r="L10" s="131"/>
      <c r="M10" s="131"/>
      <c r="N10" s="131"/>
      <c r="O10" s="131"/>
      <c r="P10" s="1418"/>
    </row>
    <row r="11" spans="1:16">
      <c r="A11" s="1422">
        <v>1</v>
      </c>
      <c r="B11" s="1227" t="s">
        <v>712</v>
      </c>
      <c r="C11" s="442">
        <v>0</v>
      </c>
      <c r="D11" s="443">
        <v>0</v>
      </c>
      <c r="E11" s="443">
        <v>1.0000000000000001E-5</v>
      </c>
      <c r="F11" s="443">
        <v>0</v>
      </c>
      <c r="G11" s="443">
        <v>0</v>
      </c>
      <c r="H11" s="444">
        <v>0</v>
      </c>
      <c r="I11" s="131"/>
      <c r="J11" s="131"/>
      <c r="K11" s="131"/>
      <c r="L11" s="131"/>
      <c r="M11" s="131"/>
      <c r="N11" s="131"/>
      <c r="O11" s="131"/>
      <c r="P11" s="1418"/>
    </row>
    <row r="12" spans="1:16">
      <c r="A12" s="1422">
        <f>+A11+1</f>
        <v>2</v>
      </c>
      <c r="B12" s="1227" t="s">
        <v>319</v>
      </c>
      <c r="C12" s="442"/>
      <c r="D12" s="443"/>
      <c r="E12" s="443"/>
      <c r="F12" s="443"/>
      <c r="G12" s="443"/>
      <c r="H12" s="444"/>
      <c r="I12" s="131"/>
      <c r="J12" s="131"/>
      <c r="K12" s="131"/>
      <c r="L12" s="131"/>
      <c r="M12" s="131"/>
      <c r="N12" s="131"/>
      <c r="O12" s="131"/>
      <c r="P12" s="1418"/>
    </row>
    <row r="13" spans="1:16">
      <c r="A13" s="1422">
        <f t="shared" ref="A13:A24" si="0">+A12+1</f>
        <v>3</v>
      </c>
      <c r="B13" s="1229" t="s">
        <v>512</v>
      </c>
      <c r="C13" s="442"/>
      <c r="D13" s="443"/>
      <c r="E13" s="443"/>
      <c r="F13" s="443"/>
      <c r="G13" s="443"/>
      <c r="H13" s="444"/>
      <c r="I13" s="131"/>
      <c r="J13" s="131"/>
      <c r="K13" s="131"/>
      <c r="L13" s="131"/>
      <c r="M13" s="131"/>
      <c r="N13" s="131"/>
      <c r="O13" s="131"/>
      <c r="P13" s="1418"/>
    </row>
    <row r="14" spans="1:16">
      <c r="A14" s="1422">
        <f t="shared" si="0"/>
        <v>4</v>
      </c>
      <c r="B14" s="1229" t="s">
        <v>713</v>
      </c>
      <c r="C14" s="442"/>
      <c r="D14" s="443"/>
      <c r="E14" s="443"/>
      <c r="F14" s="443"/>
      <c r="G14" s="443"/>
      <c r="H14" s="444"/>
      <c r="I14" s="131"/>
      <c r="J14" s="131"/>
      <c r="K14" s="131"/>
      <c r="L14" s="131"/>
      <c r="M14" s="131"/>
      <c r="N14" s="131"/>
      <c r="O14" s="131"/>
      <c r="P14" s="1418"/>
    </row>
    <row r="15" spans="1:16">
      <c r="A15" s="1422">
        <f t="shared" si="0"/>
        <v>5</v>
      </c>
      <c r="B15" s="1229" t="s">
        <v>321</v>
      </c>
      <c r="C15" s="442"/>
      <c r="D15" s="443"/>
      <c r="E15" s="443"/>
      <c r="F15" s="443"/>
      <c r="G15" s="443"/>
      <c r="H15" s="444"/>
      <c r="I15" s="131"/>
      <c r="J15" s="131"/>
      <c r="K15" s="131"/>
      <c r="L15" s="131"/>
      <c r="M15" s="131"/>
      <c r="N15" s="131"/>
      <c r="O15" s="131"/>
      <c r="P15" s="1418"/>
    </row>
    <row r="16" spans="1:16">
      <c r="A16" s="1422">
        <f t="shared" si="0"/>
        <v>6</v>
      </c>
      <c r="B16" s="1229" t="s">
        <v>322</v>
      </c>
      <c r="C16" s="442"/>
      <c r="D16" s="443"/>
      <c r="E16" s="443"/>
      <c r="F16" s="443"/>
      <c r="G16" s="443"/>
      <c r="H16" s="444"/>
      <c r="I16" s="131"/>
      <c r="J16" s="131"/>
      <c r="K16" s="131"/>
      <c r="L16" s="131"/>
      <c r="M16" s="131"/>
      <c r="N16" s="131"/>
      <c r="O16" s="131"/>
      <c r="P16" s="1418"/>
    </row>
    <row r="17" spans="1:16">
      <c r="A17" s="1422">
        <f t="shared" si="0"/>
        <v>7</v>
      </c>
      <c r="B17" s="1229" t="s">
        <v>48</v>
      </c>
      <c r="C17" s="442"/>
      <c r="D17" s="443"/>
      <c r="E17" s="443"/>
      <c r="F17" s="443"/>
      <c r="G17" s="443"/>
      <c r="H17" s="444"/>
      <c r="I17" s="131"/>
      <c r="J17" s="131"/>
      <c r="K17" s="131"/>
      <c r="L17" s="131"/>
      <c r="M17" s="131"/>
      <c r="N17" s="131"/>
      <c r="O17" s="131"/>
      <c r="P17" s="1418"/>
    </row>
    <row r="18" spans="1:16">
      <c r="A18" s="1422">
        <f t="shared" si="0"/>
        <v>8</v>
      </c>
      <c r="B18" s="1229" t="s">
        <v>323</v>
      </c>
      <c r="C18" s="442"/>
      <c r="D18" s="443"/>
      <c r="E18" s="443"/>
      <c r="F18" s="443"/>
      <c r="G18" s="443"/>
      <c r="H18" s="444"/>
      <c r="I18" s="131"/>
      <c r="J18" s="131"/>
      <c r="K18" s="131"/>
      <c r="L18" s="131"/>
      <c r="M18" s="131"/>
      <c r="N18" s="131"/>
      <c r="O18" s="131"/>
      <c r="P18" s="1418"/>
    </row>
    <row r="19" spans="1:16">
      <c r="A19" s="1422">
        <f t="shared" si="0"/>
        <v>9</v>
      </c>
      <c r="B19" s="1229" t="s">
        <v>714</v>
      </c>
      <c r="C19" s="442"/>
      <c r="D19" s="443"/>
      <c r="E19" s="443"/>
      <c r="F19" s="443"/>
      <c r="G19" s="443"/>
      <c r="H19" s="444"/>
      <c r="I19" s="131"/>
      <c r="J19" s="131"/>
      <c r="K19" s="131"/>
      <c r="L19" s="131"/>
      <c r="M19" s="131"/>
      <c r="N19" s="131"/>
      <c r="O19" s="131"/>
      <c r="P19" s="1418"/>
    </row>
    <row r="20" spans="1:16">
      <c r="A20" s="1422">
        <f t="shared" si="0"/>
        <v>10</v>
      </c>
      <c r="B20" s="1229" t="s">
        <v>326</v>
      </c>
      <c r="C20" s="442"/>
      <c r="D20" s="443"/>
      <c r="E20" s="443"/>
      <c r="F20" s="443"/>
      <c r="G20" s="443"/>
      <c r="H20" s="444"/>
      <c r="I20" s="131"/>
      <c r="J20" s="131"/>
      <c r="K20" s="131"/>
      <c r="L20" s="131"/>
      <c r="M20" s="131"/>
      <c r="N20" s="131"/>
      <c r="O20" s="131"/>
      <c r="P20" s="1418"/>
    </row>
    <row r="21" spans="1:16">
      <c r="A21" s="1422">
        <f t="shared" si="0"/>
        <v>11</v>
      </c>
      <c r="B21" s="1229" t="s">
        <v>513</v>
      </c>
      <c r="C21" s="442"/>
      <c r="D21" s="443"/>
      <c r="E21" s="443"/>
      <c r="F21" s="443"/>
      <c r="G21" s="443"/>
      <c r="H21" s="444"/>
      <c r="I21" s="131"/>
      <c r="J21" s="131"/>
      <c r="K21" s="131"/>
      <c r="L21" s="131"/>
      <c r="M21" s="131"/>
      <c r="N21" s="131"/>
      <c r="O21" s="131"/>
      <c r="P21" s="1418"/>
    </row>
    <row r="22" spans="1:16">
      <c r="A22" s="1422">
        <f t="shared" si="0"/>
        <v>12</v>
      </c>
      <c r="B22" s="1229" t="s">
        <v>514</v>
      </c>
      <c r="C22" s="442"/>
      <c r="D22" s="443"/>
      <c r="E22" s="443"/>
      <c r="F22" s="443"/>
      <c r="G22" s="443"/>
      <c r="H22" s="444"/>
      <c r="I22" s="131"/>
      <c r="J22" s="131"/>
      <c r="K22" s="131"/>
      <c r="L22" s="131"/>
      <c r="M22" s="131"/>
      <c r="N22" s="131"/>
      <c r="O22" s="131"/>
      <c r="P22" s="1418"/>
    </row>
    <row r="23" spans="1:16">
      <c r="A23" s="1427">
        <f t="shared" si="0"/>
        <v>13</v>
      </c>
      <c r="B23" s="1231" t="s">
        <v>715</v>
      </c>
      <c r="C23" s="442">
        <v>0</v>
      </c>
      <c r="D23" s="443">
        <v>0</v>
      </c>
      <c r="E23" s="443">
        <v>0</v>
      </c>
      <c r="F23" s="443">
        <v>0</v>
      </c>
      <c r="G23" s="443">
        <v>0</v>
      </c>
      <c r="H23" s="444">
        <v>0</v>
      </c>
      <c r="I23" s="131"/>
      <c r="J23" s="131"/>
      <c r="K23" s="131"/>
      <c r="L23" s="131"/>
      <c r="M23" s="131"/>
      <c r="N23" s="131"/>
      <c r="O23" s="131"/>
      <c r="P23" s="1418"/>
    </row>
    <row r="24" spans="1:16" ht="13.5" thickBot="1">
      <c r="A24" s="1428">
        <f t="shared" si="0"/>
        <v>14</v>
      </c>
      <c r="B24" s="1896" t="s">
        <v>1011</v>
      </c>
      <c r="C24" s="1903">
        <f t="shared" ref="C24:H24" si="1">SUM(C11:C23)/13</f>
        <v>0</v>
      </c>
      <c r="D24" s="1904">
        <f t="shared" si="1"/>
        <v>0</v>
      </c>
      <c r="E24" s="1904">
        <f t="shared" si="1"/>
        <v>7.6923076923076925E-7</v>
      </c>
      <c r="F24" s="1904">
        <f t="shared" si="1"/>
        <v>0</v>
      </c>
      <c r="G24" s="1904">
        <f t="shared" si="1"/>
        <v>0</v>
      </c>
      <c r="H24" s="1905">
        <f t="shared" si="1"/>
        <v>0</v>
      </c>
      <c r="I24" s="131"/>
      <c r="J24" s="131"/>
      <c r="K24" s="131"/>
      <c r="L24" s="131"/>
      <c r="M24" s="131"/>
      <c r="N24" s="131"/>
      <c r="O24" s="131"/>
      <c r="P24" s="1418"/>
    </row>
    <row r="25" spans="1:16" ht="13.5" thickTop="1">
      <c r="A25" s="1413"/>
      <c r="B25" s="1234"/>
      <c r="C25" s="2139"/>
      <c r="D25" s="2139"/>
      <c r="E25" s="2139"/>
      <c r="F25" s="2139"/>
      <c r="G25" s="2139"/>
      <c r="H25" s="2139"/>
      <c r="I25" s="131"/>
      <c r="J25" s="131"/>
      <c r="K25" s="131"/>
      <c r="L25" s="131"/>
      <c r="M25" s="131"/>
      <c r="N25" s="131"/>
      <c r="O25" s="131"/>
      <c r="P25" s="1418"/>
    </row>
    <row r="26" spans="1:16" ht="14.25" customHeight="1">
      <c r="A26" s="1413"/>
      <c r="B26" s="1234"/>
      <c r="C26" s="1235"/>
      <c r="D26" s="1235"/>
      <c r="E26" s="1235"/>
      <c r="F26" s="474"/>
      <c r="G26" s="474"/>
      <c r="H26" s="474"/>
      <c r="I26" s="131"/>
      <c r="J26" s="131"/>
      <c r="K26" s="131"/>
      <c r="L26" s="131"/>
      <c r="M26" s="131"/>
      <c r="N26" s="131"/>
      <c r="O26" s="131"/>
      <c r="P26" s="1418"/>
    </row>
    <row r="27" spans="1:16" ht="12.75" customHeight="1">
      <c r="A27" s="1413"/>
      <c r="B27" s="1211"/>
      <c r="C27" s="2273" t="s">
        <v>719</v>
      </c>
      <c r="D27" s="2274"/>
      <c r="E27" s="2274"/>
      <c r="F27" s="2274"/>
      <c r="G27" s="2274"/>
      <c r="H27" s="131"/>
      <c r="I27" s="131"/>
      <c r="J27" s="131"/>
      <c r="K27" s="131"/>
      <c r="L27" s="131"/>
      <c r="M27" s="131"/>
      <c r="N27" s="131"/>
      <c r="O27" s="131"/>
      <c r="P27" s="1418"/>
    </row>
    <row r="28" spans="1:16" s="1421" customFormat="1" ht="25.5">
      <c r="A28" s="1419" t="s">
        <v>693</v>
      </c>
      <c r="B28" s="1213" t="s">
        <v>676</v>
      </c>
      <c r="C28" s="1215" t="s">
        <v>699</v>
      </c>
      <c r="D28" s="1215" t="s">
        <v>700</v>
      </c>
      <c r="E28" s="1215" t="s">
        <v>701</v>
      </c>
      <c r="F28" s="1215" t="s">
        <v>722</v>
      </c>
      <c r="G28" s="1420" t="s">
        <v>723</v>
      </c>
      <c r="J28" s="131"/>
      <c r="K28" s="131"/>
      <c r="L28" s="131"/>
      <c r="M28" s="131"/>
      <c r="N28" s="131"/>
      <c r="O28" s="131"/>
      <c r="P28" s="1418"/>
    </row>
    <row r="29" spans="1:16" s="1423" customFormat="1">
      <c r="A29" s="1422"/>
      <c r="B29" s="1219" t="s">
        <v>702</v>
      </c>
      <c r="C29" s="1221" t="s">
        <v>703</v>
      </c>
      <c r="D29" s="1221" t="s">
        <v>704</v>
      </c>
      <c r="E29" s="1221" t="s">
        <v>705</v>
      </c>
      <c r="F29" s="1221" t="s">
        <v>706</v>
      </c>
      <c r="G29" s="1219" t="s">
        <v>707</v>
      </c>
      <c r="J29" s="131"/>
      <c r="K29" s="131"/>
      <c r="L29" s="131"/>
      <c r="M29" s="131"/>
      <c r="N29" s="131"/>
      <c r="O29" s="131"/>
      <c r="P29" s="1418"/>
    </row>
    <row r="30" spans="1:16" s="1423" customFormat="1" ht="52.5" customHeight="1">
      <c r="A30" s="1422"/>
      <c r="B30" s="1219"/>
      <c r="C30" s="2150" t="s">
        <v>710</v>
      </c>
      <c r="D30" s="1425" t="s">
        <v>711</v>
      </c>
      <c r="E30" s="1425" t="s">
        <v>67</v>
      </c>
      <c r="F30" s="1425" t="s">
        <v>651</v>
      </c>
      <c r="G30" s="1426" t="s">
        <v>651</v>
      </c>
      <c r="J30" s="131"/>
      <c r="K30" s="131"/>
      <c r="L30" s="131"/>
      <c r="M30" s="131"/>
      <c r="N30" s="131"/>
      <c r="O30" s="131"/>
      <c r="P30" s="1418"/>
    </row>
    <row r="31" spans="1:16">
      <c r="A31" s="1422">
        <f>+A24+1</f>
        <v>15</v>
      </c>
      <c r="B31" s="1227" t="s">
        <v>712</v>
      </c>
      <c r="C31" s="452">
        <v>0</v>
      </c>
      <c r="D31" s="443">
        <v>0</v>
      </c>
      <c r="E31" s="452">
        <v>0</v>
      </c>
      <c r="F31" s="443">
        <v>0</v>
      </c>
      <c r="G31" s="453"/>
      <c r="J31" s="131"/>
      <c r="K31" s="131"/>
      <c r="L31" s="131"/>
      <c r="M31" s="131"/>
      <c r="N31" s="131"/>
      <c r="O31" s="131"/>
      <c r="P31" s="1418"/>
    </row>
    <row r="32" spans="1:16">
      <c r="A32" s="1422">
        <f>+A31+1</f>
        <v>16</v>
      </c>
      <c r="B32" s="1227" t="s">
        <v>319</v>
      </c>
      <c r="C32" s="442"/>
      <c r="D32" s="443"/>
      <c r="E32" s="443"/>
      <c r="F32" s="443"/>
      <c r="G32" s="444"/>
      <c r="J32" s="131"/>
      <c r="K32" s="131"/>
      <c r="L32" s="131"/>
      <c r="M32" s="131"/>
      <c r="N32" s="131"/>
      <c r="O32" s="131"/>
      <c r="P32" s="1418"/>
    </row>
    <row r="33" spans="1:16">
      <c r="A33" s="1422">
        <f t="shared" ref="A33:A44" si="2">+A32+1</f>
        <v>17</v>
      </c>
      <c r="B33" s="1229" t="s">
        <v>512</v>
      </c>
      <c r="C33" s="442"/>
      <c r="D33" s="443"/>
      <c r="E33" s="443"/>
      <c r="F33" s="443"/>
      <c r="G33" s="444"/>
      <c r="J33" s="131"/>
      <c r="K33" s="131"/>
      <c r="L33" s="131"/>
      <c r="M33" s="131"/>
      <c r="N33" s="131"/>
      <c r="O33" s="131"/>
      <c r="P33" s="1418"/>
    </row>
    <row r="34" spans="1:16">
      <c r="A34" s="1422">
        <f t="shared" si="2"/>
        <v>18</v>
      </c>
      <c r="B34" s="1229" t="s">
        <v>713</v>
      </c>
      <c r="C34" s="442"/>
      <c r="D34" s="443"/>
      <c r="E34" s="443"/>
      <c r="F34" s="443"/>
      <c r="G34" s="444"/>
      <c r="J34" s="131"/>
      <c r="K34" s="131"/>
      <c r="L34" s="131"/>
      <c r="M34" s="131"/>
      <c r="N34" s="131"/>
      <c r="O34" s="131"/>
      <c r="P34" s="1418"/>
    </row>
    <row r="35" spans="1:16">
      <c r="A35" s="1422">
        <f t="shared" si="2"/>
        <v>19</v>
      </c>
      <c r="B35" s="1229" t="s">
        <v>321</v>
      </c>
      <c r="C35" s="442"/>
      <c r="D35" s="443"/>
      <c r="E35" s="443"/>
      <c r="F35" s="443"/>
      <c r="G35" s="444"/>
      <c r="J35" s="131"/>
      <c r="K35" s="131"/>
      <c r="L35" s="131"/>
      <c r="M35" s="131"/>
      <c r="N35" s="131"/>
      <c r="O35" s="131"/>
      <c r="P35" s="1418"/>
    </row>
    <row r="36" spans="1:16">
      <c r="A36" s="1422">
        <f t="shared" si="2"/>
        <v>20</v>
      </c>
      <c r="B36" s="1229" t="s">
        <v>322</v>
      </c>
      <c r="C36" s="442"/>
      <c r="D36" s="443"/>
      <c r="E36" s="443"/>
      <c r="F36" s="443"/>
      <c r="G36" s="444"/>
      <c r="J36" s="131"/>
      <c r="K36" s="131"/>
      <c r="L36" s="131"/>
      <c r="M36" s="131"/>
      <c r="N36" s="131"/>
      <c r="O36" s="131"/>
      <c r="P36" s="1418"/>
    </row>
    <row r="37" spans="1:16">
      <c r="A37" s="1422">
        <f t="shared" si="2"/>
        <v>21</v>
      </c>
      <c r="B37" s="1229" t="s">
        <v>48</v>
      </c>
      <c r="C37" s="442"/>
      <c r="D37" s="443"/>
      <c r="E37" s="443"/>
      <c r="F37" s="443"/>
      <c r="G37" s="444"/>
      <c r="J37" s="131"/>
      <c r="K37" s="131"/>
      <c r="L37" s="131"/>
      <c r="M37" s="131"/>
      <c r="N37" s="131"/>
      <c r="O37" s="131"/>
      <c r="P37" s="1418"/>
    </row>
    <row r="38" spans="1:16">
      <c r="A38" s="1422">
        <f t="shared" si="2"/>
        <v>22</v>
      </c>
      <c r="B38" s="1229" t="s">
        <v>323</v>
      </c>
      <c r="C38" s="442"/>
      <c r="D38" s="443"/>
      <c r="E38" s="443"/>
      <c r="F38" s="443"/>
      <c r="G38" s="444"/>
      <c r="J38" s="131"/>
      <c r="K38" s="131"/>
      <c r="L38" s="131"/>
      <c r="M38" s="131"/>
      <c r="N38" s="131"/>
      <c r="O38" s="131"/>
      <c r="P38" s="1418"/>
    </row>
    <row r="39" spans="1:16">
      <c r="A39" s="1422">
        <f t="shared" si="2"/>
        <v>23</v>
      </c>
      <c r="B39" s="1229" t="s">
        <v>714</v>
      </c>
      <c r="C39" s="442"/>
      <c r="D39" s="443"/>
      <c r="E39" s="443"/>
      <c r="F39" s="443"/>
      <c r="G39" s="444"/>
      <c r="J39" s="131"/>
      <c r="K39" s="131"/>
      <c r="L39" s="131"/>
      <c r="M39" s="131"/>
      <c r="N39" s="131"/>
      <c r="O39" s="131"/>
      <c r="P39" s="1418"/>
    </row>
    <row r="40" spans="1:16">
      <c r="A40" s="1422">
        <f t="shared" si="2"/>
        <v>24</v>
      </c>
      <c r="B40" s="1229" t="s">
        <v>326</v>
      </c>
      <c r="C40" s="442"/>
      <c r="D40" s="443"/>
      <c r="E40" s="443"/>
      <c r="F40" s="443"/>
      <c r="G40" s="444"/>
      <c r="J40" s="131"/>
      <c r="K40" s="131"/>
      <c r="L40" s="131"/>
      <c r="M40" s="131"/>
      <c r="N40" s="131"/>
      <c r="O40" s="131"/>
      <c r="P40" s="1418"/>
    </row>
    <row r="41" spans="1:16">
      <c r="A41" s="1422">
        <f t="shared" si="2"/>
        <v>25</v>
      </c>
      <c r="B41" s="1229" t="s">
        <v>513</v>
      </c>
      <c r="C41" s="442"/>
      <c r="D41" s="443"/>
      <c r="E41" s="443"/>
      <c r="F41" s="443"/>
      <c r="G41" s="444"/>
      <c r="J41" s="131"/>
      <c r="K41" s="131"/>
      <c r="L41" s="131"/>
      <c r="M41" s="131"/>
      <c r="N41" s="131"/>
      <c r="O41" s="131"/>
      <c r="P41" s="1418"/>
    </row>
    <row r="42" spans="1:16">
      <c r="A42" s="1422">
        <f t="shared" si="2"/>
        <v>26</v>
      </c>
      <c r="B42" s="1229" t="s">
        <v>514</v>
      </c>
      <c r="C42" s="442"/>
      <c r="D42" s="443"/>
      <c r="E42" s="443"/>
      <c r="F42" s="443"/>
      <c r="G42" s="444"/>
      <c r="J42" s="131"/>
      <c r="K42" s="131"/>
      <c r="L42" s="131"/>
      <c r="M42" s="131"/>
      <c r="N42" s="131"/>
      <c r="O42" s="131"/>
      <c r="P42" s="1418"/>
    </row>
    <row r="43" spans="1:16">
      <c r="A43" s="1427">
        <f t="shared" si="2"/>
        <v>27</v>
      </c>
      <c r="B43" s="1231" t="s">
        <v>715</v>
      </c>
      <c r="C43" s="443">
        <v>0</v>
      </c>
      <c r="D43" s="443">
        <v>0</v>
      </c>
      <c r="E43" s="443">
        <v>0</v>
      </c>
      <c r="F43" s="443">
        <v>0</v>
      </c>
      <c r="G43" s="2156"/>
      <c r="J43" s="131"/>
      <c r="K43" s="131"/>
      <c r="L43" s="131"/>
      <c r="M43" s="131"/>
      <c r="N43" s="131"/>
      <c r="O43" s="131"/>
      <c r="P43" s="1418"/>
    </row>
    <row r="44" spans="1:16" ht="13.5" thickBot="1">
      <c r="A44" s="1428">
        <f t="shared" si="2"/>
        <v>28</v>
      </c>
      <c r="B44" s="1896" t="s">
        <v>1011</v>
      </c>
      <c r="C44" s="1904">
        <f>SUM(C31:C43)/13</f>
        <v>0</v>
      </c>
      <c r="D44" s="1904">
        <f>SUM(D31:D43)/13</f>
        <v>0</v>
      </c>
      <c r="E44" s="1904">
        <f>SUM(E31:E43)/13</f>
        <v>0</v>
      </c>
      <c r="F44" s="1904">
        <f>SUM(F31:F43)/13</f>
        <v>0</v>
      </c>
      <c r="G44" s="1905">
        <f>SUM(G31:G43)/13</f>
        <v>0</v>
      </c>
      <c r="J44" s="131"/>
      <c r="K44" s="131"/>
      <c r="L44" s="131"/>
      <c r="M44" s="131"/>
      <c r="N44" s="131"/>
      <c r="O44" s="131"/>
      <c r="P44" s="1418"/>
    </row>
    <row r="45" spans="1:16" ht="13.5" thickTop="1">
      <c r="A45" s="1413"/>
      <c r="B45" s="1234"/>
      <c r="C45" s="2139"/>
      <c r="D45" s="2139"/>
      <c r="E45" s="2139"/>
      <c r="F45" s="2139"/>
      <c r="G45" s="2139"/>
      <c r="H45" s="131"/>
      <c r="I45" s="131"/>
      <c r="J45" s="131"/>
      <c r="K45" s="131"/>
      <c r="L45" s="131"/>
      <c r="M45" s="131"/>
      <c r="N45" s="131"/>
      <c r="O45" s="131"/>
      <c r="P45" s="1418"/>
    </row>
    <row r="46" spans="1:16">
      <c r="A46" s="1413"/>
      <c r="C46"/>
      <c r="D46"/>
      <c r="E46"/>
      <c r="F46" s="474"/>
      <c r="G46" s="474"/>
      <c r="H46" s="474"/>
      <c r="I46" s="474"/>
      <c r="J46" s="474"/>
      <c r="K46" s="1235"/>
      <c r="L46" s="1235"/>
      <c r="M46" s="1235"/>
      <c r="N46" s="1429"/>
      <c r="O46" s="1429"/>
      <c r="P46" s="1418"/>
    </row>
    <row r="47" spans="1:16">
      <c r="A47" s="1413"/>
      <c r="B47" s="1430" t="s">
        <v>741</v>
      </c>
      <c r="C47" s="1235"/>
      <c r="D47" s="1235"/>
      <c r="E47" s="1235"/>
      <c r="F47" s="474"/>
      <c r="G47" s="474"/>
      <c r="H47" s="474"/>
      <c r="I47" s="474"/>
      <c r="J47" s="474"/>
      <c r="K47" s="1235"/>
      <c r="L47" s="1235"/>
      <c r="M47" s="1235"/>
      <c r="N47" s="1429"/>
      <c r="O47" s="1429"/>
      <c r="P47" s="1418"/>
    </row>
    <row r="48" spans="1:16" ht="25.5">
      <c r="A48" s="1431" t="s">
        <v>693</v>
      </c>
      <c r="B48" s="1432" t="s">
        <v>727</v>
      </c>
      <c r="C48" s="2300" t="s">
        <v>728</v>
      </c>
      <c r="D48" s="2300"/>
      <c r="E48" s="2300"/>
      <c r="F48" s="1433" t="s">
        <v>729</v>
      </c>
      <c r="G48" s="1433" t="str">
        <f>'SWT TCOS'!N2&amp;" Rate Year Beginning balance"</f>
        <v>2022 Rate Year Beginning balance</v>
      </c>
      <c r="H48" s="1433" t="str">
        <f>'SWT TCOS'!N2&amp;" Rate Year Ending balance"</f>
        <v>2022 Rate Year Ending balance</v>
      </c>
      <c r="I48" s="1215" t="str">
        <f>'SWT TCOS'!N2&amp;" Rate Year Average"</f>
        <v>2022 Rate Year Average</v>
      </c>
      <c r="J48" s="474"/>
      <c r="K48" s="1235"/>
      <c r="L48" s="1235"/>
      <c r="M48" s="1235"/>
      <c r="N48" s="1429"/>
      <c r="O48" s="1429"/>
      <c r="P48" s="1418"/>
    </row>
    <row r="49" spans="1:16">
      <c r="A49" s="1413"/>
      <c r="B49" s="1221" t="s">
        <v>702</v>
      </c>
      <c r="C49" s="2301" t="s">
        <v>703</v>
      </c>
      <c r="D49" s="2301"/>
      <c r="E49" s="2301"/>
      <c r="F49" s="1221" t="s">
        <v>704</v>
      </c>
      <c r="G49" s="1221" t="s">
        <v>705</v>
      </c>
      <c r="H49" s="1221" t="s">
        <v>706</v>
      </c>
      <c r="I49" s="1434" t="s">
        <v>707</v>
      </c>
      <c r="J49" s="474"/>
      <c r="K49" s="1235"/>
      <c r="L49" s="1235"/>
      <c r="M49" s="1235"/>
      <c r="N49" s="1429"/>
      <c r="O49" s="1429"/>
      <c r="P49" s="1418"/>
    </row>
    <row r="50" spans="1:16">
      <c r="A50" s="1435" t="str">
        <f>+A$44+1&amp;"A"</f>
        <v>29A</v>
      </c>
      <c r="B50" s="443"/>
      <c r="C50" s="443"/>
      <c r="D50" s="443"/>
      <c r="E50" s="443"/>
      <c r="F50" s="461"/>
      <c r="G50" s="443"/>
      <c r="H50" s="443"/>
      <c r="I50" s="443">
        <f>+(G50+H50)/2</f>
        <v>0</v>
      </c>
    </row>
    <row r="51" spans="1:16">
      <c r="A51" s="1435" t="str">
        <f>+A$44+1&amp;"B"</f>
        <v>29B</v>
      </c>
      <c r="B51" s="443"/>
      <c r="C51" s="443"/>
      <c r="D51" s="443"/>
      <c r="E51" s="443"/>
      <c r="F51" s="461"/>
      <c r="G51" s="443"/>
      <c r="H51" s="443"/>
      <c r="I51" s="443">
        <f>+(G51+H51)/2</f>
        <v>0</v>
      </c>
    </row>
    <row r="52" spans="1:16">
      <c r="A52" s="1435" t="str">
        <f>+A$44+1&amp;"C"</f>
        <v>29C</v>
      </c>
      <c r="B52" s="443"/>
      <c r="C52" s="443"/>
      <c r="D52" s="443"/>
      <c r="E52" s="443"/>
      <c r="F52" s="443"/>
      <c r="G52" s="443"/>
      <c r="H52" s="443"/>
      <c r="I52" s="443">
        <f>+(G52+H52)/2</f>
        <v>0</v>
      </c>
    </row>
    <row r="53" spans="1:16" ht="13.5" thickBot="1">
      <c r="A53" s="1435">
        <f>+A44+2</f>
        <v>30</v>
      </c>
      <c r="B53" s="1436" t="s">
        <v>732</v>
      </c>
      <c r="C53" s="1436"/>
      <c r="D53" s="1436"/>
      <c r="E53" s="1436"/>
      <c r="F53" s="1436"/>
      <c r="G53" s="1437">
        <f>+SUM(G50:G52)</f>
        <v>0</v>
      </c>
      <c r="H53" s="1437">
        <f>+SUM(H50:H52)</f>
        <v>0</v>
      </c>
      <c r="I53" s="1437">
        <f>+SUM(I50:I52)</f>
        <v>0</v>
      </c>
    </row>
    <row r="54" spans="1:16" ht="13.5" thickTop="1"/>
    <row r="55" spans="1:16">
      <c r="A55" s="1439" t="s">
        <v>740</v>
      </c>
    </row>
    <row r="56" spans="1:16">
      <c r="A56" s="1435" t="s">
        <v>298</v>
      </c>
      <c r="B56" s="1411" t="s">
        <v>743</v>
      </c>
    </row>
    <row r="57" spans="1:16">
      <c r="A57" s="1413" t="s">
        <v>299</v>
      </c>
      <c r="B57" s="1440" t="s">
        <v>742</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50"/>
  <sheetViews>
    <sheetView topLeftCell="A12" zoomScaleNormal="100" zoomScaleSheetLayoutView="70" zoomScalePageLayoutView="80" workbookViewId="0">
      <selection activeCell="C31" sqref="C31:G31"/>
    </sheetView>
  </sheetViews>
  <sheetFormatPr defaultColWidth="11.42578125" defaultRowHeight="12.75"/>
  <cols>
    <col min="1" max="1" width="10.28515625" style="1438" customWidth="1"/>
    <col min="2" max="2" width="39.7109375" style="1411" customWidth="1"/>
    <col min="3" max="3" width="21.28515625" style="1411" customWidth="1"/>
    <col min="4" max="4" width="19.28515625" style="1411" customWidth="1"/>
    <col min="5" max="5" width="18.7109375" style="1411" customWidth="1"/>
    <col min="6" max="6" width="18" style="1411" customWidth="1"/>
    <col min="7" max="7" width="16.5703125" style="1411" customWidth="1"/>
    <col min="8" max="8" width="17.28515625" style="1411" customWidth="1"/>
    <col min="9" max="9" width="15.28515625" style="1411" customWidth="1"/>
    <col min="10" max="15" width="20.28515625" style="1411" customWidth="1"/>
    <col min="16" max="16" width="20" style="1411" customWidth="1"/>
    <col min="17" max="18" width="15.28515625" style="1411" customWidth="1"/>
    <col min="19" max="16384" width="11.42578125" style="1411"/>
  </cols>
  <sheetData>
    <row r="1" spans="1:16" ht="15">
      <c r="A1" s="1410"/>
    </row>
    <row r="2" spans="1:16" ht="15">
      <c r="A2" s="2302" t="str">
        <f>'SWT TCOS'!F4</f>
        <v xml:space="preserve">AEP West SPP Member Transmission Companies </v>
      </c>
      <c r="B2" s="2302"/>
      <c r="C2" s="2302"/>
      <c r="D2" s="2302"/>
      <c r="E2" s="2302"/>
      <c r="F2" s="2302"/>
      <c r="G2" s="2302"/>
      <c r="H2" s="2302"/>
      <c r="I2" s="1412"/>
      <c r="J2" s="1412"/>
      <c r="K2" s="1412"/>
      <c r="L2" s="1413"/>
      <c r="M2" s="1413"/>
    </row>
    <row r="3" spans="1:16" ht="15">
      <c r="A3" s="2302" t="str">
        <f>"Actual / Projected "&amp;'SWT TCOS'!$N$2&amp;" Rate Year Cost of Service Formula Rate "</f>
        <v xml:space="preserve">Actual / Projected 2022 Rate Year Cost of Service Formula Rate </v>
      </c>
      <c r="B3" s="2302"/>
      <c r="C3" s="2302"/>
      <c r="D3" s="2302"/>
      <c r="E3" s="2302"/>
      <c r="F3" s="2302"/>
      <c r="G3" s="2302"/>
      <c r="H3" s="2302"/>
      <c r="I3" s="1412"/>
      <c r="J3" s="1412"/>
      <c r="K3" s="1412"/>
      <c r="L3" s="1413"/>
      <c r="M3" s="1413"/>
      <c r="N3" s="1413"/>
      <c r="P3" s="1414"/>
    </row>
    <row r="4" spans="1:16" ht="15.75">
      <c r="A4" s="2303" t="s">
        <v>724</v>
      </c>
      <c r="B4" s="2303"/>
      <c r="C4" s="2303"/>
      <c r="D4" s="2303"/>
      <c r="E4" s="2303"/>
      <c r="F4" s="2303"/>
      <c r="G4" s="2303"/>
      <c r="H4" s="2303"/>
      <c r="I4" s="1412"/>
      <c r="J4" s="1412"/>
      <c r="K4" s="1412"/>
      <c r="L4" s="1413"/>
      <c r="M4" s="1413"/>
      <c r="N4" s="1413"/>
    </row>
    <row r="5" spans="1:16" ht="15.75">
      <c r="A5" s="2304" t="str">
        <f>+'SWT TCOS'!$F$8</f>
        <v>AEP SOUTHWESTERN TRANSMISSION COMPANY</v>
      </c>
      <c r="B5" s="2304"/>
      <c r="C5" s="2304"/>
      <c r="D5" s="2304"/>
      <c r="E5" s="2304"/>
      <c r="F5" s="2304"/>
      <c r="G5" s="2304"/>
      <c r="H5" s="2304"/>
      <c r="I5" s="1415"/>
      <c r="J5" s="1415"/>
      <c r="K5" s="1415"/>
      <c r="L5" s="1413"/>
      <c r="M5" s="1413"/>
      <c r="N5" s="1413"/>
    </row>
    <row r="6" spans="1:16">
      <c r="A6" s="1413"/>
      <c r="B6" s="1211"/>
      <c r="C6" s="1211"/>
      <c r="D6" s="1211"/>
      <c r="E6" s="1211"/>
      <c r="F6" s="1211"/>
      <c r="G6" s="1211"/>
      <c r="H6" s="1211"/>
      <c r="I6" s="1416"/>
      <c r="J6" s="1417"/>
      <c r="L6" s="1417"/>
      <c r="N6" s="1417"/>
      <c r="P6" s="1417"/>
    </row>
    <row r="7" spans="1:16" ht="12.75" customHeight="1">
      <c r="A7" s="1413"/>
      <c r="B7" s="1211"/>
      <c r="C7" s="2273" t="s">
        <v>721</v>
      </c>
      <c r="D7" s="2274"/>
      <c r="E7" s="2274"/>
      <c r="F7" s="2274"/>
      <c r="G7" s="2274"/>
      <c r="H7" s="2275"/>
      <c r="I7" s="131"/>
      <c r="J7" s="131"/>
      <c r="K7" s="131"/>
      <c r="L7" s="131"/>
      <c r="M7" s="131"/>
      <c r="N7" s="131"/>
      <c r="O7" s="131"/>
      <c r="P7" s="1418"/>
    </row>
    <row r="8" spans="1:16" s="1421" customFormat="1" ht="56.25" customHeight="1">
      <c r="A8" s="1419" t="s">
        <v>693</v>
      </c>
      <c r="B8" s="1213" t="s">
        <v>676</v>
      </c>
      <c r="C8" s="2147" t="s">
        <v>694</v>
      </c>
      <c r="D8" s="2147" t="s">
        <v>695</v>
      </c>
      <c r="E8" s="2147" t="s">
        <v>252</v>
      </c>
      <c r="F8" s="2147" t="s">
        <v>696</v>
      </c>
      <c r="G8" s="2147" t="s">
        <v>697</v>
      </c>
      <c r="H8" s="1215" t="s">
        <v>698</v>
      </c>
      <c r="I8" s="131"/>
      <c r="J8" s="131"/>
      <c r="K8" s="131"/>
      <c r="L8" s="131"/>
      <c r="M8" s="131"/>
      <c r="N8" s="131"/>
      <c r="O8" s="131"/>
      <c r="P8" s="1418"/>
    </row>
    <row r="9" spans="1:16" s="1423" customFormat="1">
      <c r="A9" s="1422"/>
      <c r="B9" s="1219" t="s">
        <v>702</v>
      </c>
      <c r="C9" s="1221" t="s">
        <v>703</v>
      </c>
      <c r="D9" s="1221" t="s">
        <v>704</v>
      </c>
      <c r="E9" s="1221" t="s">
        <v>705</v>
      </c>
      <c r="F9" s="1221" t="s">
        <v>706</v>
      </c>
      <c r="G9" s="1221" t="s">
        <v>707</v>
      </c>
      <c r="H9" s="1221" t="s">
        <v>708</v>
      </c>
      <c r="I9" s="131"/>
      <c r="J9" s="131"/>
      <c r="K9" s="131"/>
      <c r="L9" s="131"/>
      <c r="M9" s="131"/>
      <c r="N9" s="131"/>
      <c r="O9" s="131"/>
      <c r="P9" s="1418"/>
    </row>
    <row r="10" spans="1:16" s="1423" customFormat="1" ht="44.25" customHeight="1">
      <c r="A10" s="1422"/>
      <c r="B10" s="1219"/>
      <c r="C10" s="1425" t="s">
        <v>21</v>
      </c>
      <c r="D10" s="1425" t="s">
        <v>716</v>
      </c>
      <c r="E10" s="1425" t="s">
        <v>22</v>
      </c>
      <c r="F10" s="1425" t="s">
        <v>716</v>
      </c>
      <c r="G10" s="1425" t="s">
        <v>178</v>
      </c>
      <c r="H10" s="1425" t="s">
        <v>716</v>
      </c>
      <c r="I10" s="131"/>
      <c r="J10" s="131"/>
      <c r="K10" s="131"/>
      <c r="L10" s="131"/>
      <c r="M10" s="131"/>
      <c r="N10" s="131"/>
      <c r="O10" s="131"/>
      <c r="P10" s="1418"/>
    </row>
    <row r="11" spans="1:16">
      <c r="A11" s="1422">
        <v>1</v>
      </c>
      <c r="B11" s="1227" t="s">
        <v>712</v>
      </c>
      <c r="C11" s="443">
        <v>0</v>
      </c>
      <c r="D11" s="443">
        <v>0</v>
      </c>
      <c r="E11" s="443">
        <v>0</v>
      </c>
      <c r="F11" s="443">
        <v>0</v>
      </c>
      <c r="G11" s="443">
        <v>0</v>
      </c>
      <c r="H11" s="443">
        <v>0</v>
      </c>
      <c r="I11" s="131"/>
      <c r="J11" s="131"/>
      <c r="K11" s="131"/>
      <c r="L11" s="131"/>
      <c r="M11" s="131"/>
      <c r="N11" s="131"/>
      <c r="O11" s="131"/>
      <c r="P11" s="1418"/>
    </row>
    <row r="12" spans="1:16">
      <c r="A12" s="1422">
        <f>+A11+1</f>
        <v>2</v>
      </c>
      <c r="B12" s="1227" t="s">
        <v>319</v>
      </c>
      <c r="C12" s="443"/>
      <c r="D12" s="443"/>
      <c r="E12" s="443"/>
      <c r="F12" s="443"/>
      <c r="G12" s="443"/>
      <c r="H12" s="443"/>
      <c r="I12" s="131"/>
      <c r="J12" s="131"/>
      <c r="K12" s="131"/>
      <c r="L12" s="131"/>
      <c r="M12" s="131"/>
      <c r="N12" s="131"/>
      <c r="O12" s="131"/>
      <c r="P12" s="1418"/>
    </row>
    <row r="13" spans="1:16">
      <c r="A13" s="1422">
        <f t="shared" ref="A13:A24" si="0">+A12+1</f>
        <v>3</v>
      </c>
      <c r="B13" s="1229" t="s">
        <v>512</v>
      </c>
      <c r="C13" s="443"/>
      <c r="D13" s="443"/>
      <c r="E13" s="443"/>
      <c r="F13" s="443"/>
      <c r="G13" s="443"/>
      <c r="H13" s="443"/>
      <c r="I13" s="131"/>
      <c r="J13" s="131"/>
      <c r="K13" s="131"/>
      <c r="L13" s="131"/>
      <c r="M13" s="131"/>
      <c r="N13" s="131"/>
      <c r="O13" s="131"/>
      <c r="P13" s="1418"/>
    </row>
    <row r="14" spans="1:16">
      <c r="A14" s="1422">
        <f t="shared" si="0"/>
        <v>4</v>
      </c>
      <c r="B14" s="1229" t="s">
        <v>713</v>
      </c>
      <c r="C14" s="443"/>
      <c r="D14" s="443"/>
      <c r="E14" s="443"/>
      <c r="F14" s="443"/>
      <c r="G14" s="443"/>
      <c r="H14" s="443"/>
      <c r="I14" s="131"/>
      <c r="J14" s="131"/>
      <c r="K14" s="131"/>
      <c r="L14" s="131"/>
      <c r="M14" s="131"/>
      <c r="N14" s="131"/>
      <c r="O14" s="131"/>
      <c r="P14" s="1418"/>
    </row>
    <row r="15" spans="1:16">
      <c r="A15" s="1422">
        <f t="shared" si="0"/>
        <v>5</v>
      </c>
      <c r="B15" s="1229" t="s">
        <v>321</v>
      </c>
      <c r="C15" s="443"/>
      <c r="D15" s="443"/>
      <c r="E15" s="443"/>
      <c r="F15" s="443"/>
      <c r="G15" s="443"/>
      <c r="H15" s="443"/>
      <c r="I15" s="131"/>
      <c r="J15" s="131"/>
      <c r="K15" s="131"/>
      <c r="L15" s="131"/>
      <c r="M15" s="131"/>
      <c r="N15" s="131"/>
      <c r="O15" s="131"/>
      <c r="P15" s="1418"/>
    </row>
    <row r="16" spans="1:16">
      <c r="A16" s="1422">
        <f t="shared" si="0"/>
        <v>6</v>
      </c>
      <c r="B16" s="1229" t="s">
        <v>322</v>
      </c>
      <c r="C16" s="443"/>
      <c r="D16" s="443"/>
      <c r="E16" s="443"/>
      <c r="F16" s="443"/>
      <c r="G16" s="443"/>
      <c r="H16" s="443"/>
      <c r="I16" s="131"/>
      <c r="J16" s="131"/>
      <c r="K16" s="131"/>
      <c r="L16" s="131"/>
      <c r="M16" s="131"/>
      <c r="N16" s="131"/>
      <c r="O16" s="131"/>
      <c r="P16" s="1418"/>
    </row>
    <row r="17" spans="1:16">
      <c r="A17" s="1422">
        <f t="shared" si="0"/>
        <v>7</v>
      </c>
      <c r="B17" s="1229" t="s">
        <v>48</v>
      </c>
      <c r="C17" s="443"/>
      <c r="D17" s="443"/>
      <c r="E17" s="443"/>
      <c r="F17" s="443"/>
      <c r="G17" s="443"/>
      <c r="H17" s="443"/>
      <c r="I17" s="131"/>
      <c r="J17" s="131"/>
      <c r="K17" s="131"/>
      <c r="L17" s="131"/>
      <c r="M17" s="131"/>
      <c r="N17" s="131"/>
      <c r="O17" s="131"/>
      <c r="P17" s="1418"/>
    </row>
    <row r="18" spans="1:16">
      <c r="A18" s="1422">
        <f t="shared" si="0"/>
        <v>8</v>
      </c>
      <c r="B18" s="1229" t="s">
        <v>323</v>
      </c>
      <c r="C18" s="443"/>
      <c r="D18" s="443"/>
      <c r="E18" s="443"/>
      <c r="F18" s="443"/>
      <c r="G18" s="443"/>
      <c r="H18" s="443"/>
      <c r="I18" s="131"/>
      <c r="J18" s="131"/>
      <c r="K18" s="131"/>
      <c r="L18" s="131"/>
      <c r="M18" s="131"/>
      <c r="N18" s="131"/>
      <c r="O18" s="131"/>
      <c r="P18" s="1418"/>
    </row>
    <row r="19" spans="1:16">
      <c r="A19" s="1422">
        <f t="shared" si="0"/>
        <v>9</v>
      </c>
      <c r="B19" s="1229" t="s">
        <v>714</v>
      </c>
      <c r="C19" s="443"/>
      <c r="D19" s="443"/>
      <c r="E19" s="443"/>
      <c r="F19" s="443"/>
      <c r="G19" s="443"/>
      <c r="H19" s="443"/>
      <c r="I19" s="131"/>
      <c r="J19" s="131"/>
      <c r="K19" s="131"/>
      <c r="L19" s="131"/>
      <c r="M19" s="131"/>
      <c r="N19" s="131"/>
      <c r="O19" s="131"/>
      <c r="P19" s="1418"/>
    </row>
    <row r="20" spans="1:16">
      <c r="A20" s="1422">
        <f t="shared" si="0"/>
        <v>10</v>
      </c>
      <c r="B20" s="1229" t="s">
        <v>326</v>
      </c>
      <c r="C20" s="443"/>
      <c r="D20" s="443"/>
      <c r="E20" s="443"/>
      <c r="F20" s="443"/>
      <c r="G20" s="443"/>
      <c r="H20" s="443"/>
      <c r="I20" s="131"/>
      <c r="J20" s="131"/>
      <c r="K20" s="131"/>
      <c r="L20" s="131"/>
      <c r="M20" s="131"/>
      <c r="N20" s="131"/>
      <c r="O20" s="131"/>
      <c r="P20" s="1418"/>
    </row>
    <row r="21" spans="1:16">
      <c r="A21" s="1422">
        <f t="shared" si="0"/>
        <v>11</v>
      </c>
      <c r="B21" s="1229" t="s">
        <v>513</v>
      </c>
      <c r="C21" s="443"/>
      <c r="D21" s="443"/>
      <c r="E21" s="443"/>
      <c r="F21" s="443"/>
      <c r="G21" s="443"/>
      <c r="H21" s="443"/>
      <c r="I21" s="131"/>
      <c r="J21" s="131"/>
      <c r="K21" s="131"/>
      <c r="L21" s="131"/>
      <c r="M21" s="131"/>
      <c r="N21" s="131"/>
      <c r="O21" s="131"/>
      <c r="P21" s="1418"/>
    </row>
    <row r="22" spans="1:16">
      <c r="A22" s="1422">
        <f t="shared" si="0"/>
        <v>12</v>
      </c>
      <c r="B22" s="1229" t="s">
        <v>514</v>
      </c>
      <c r="C22" s="443"/>
      <c r="D22" s="443"/>
      <c r="E22" s="443"/>
      <c r="F22" s="443"/>
      <c r="G22" s="443"/>
      <c r="H22" s="443"/>
      <c r="I22" s="131"/>
      <c r="J22" s="131"/>
      <c r="K22" s="131"/>
      <c r="L22" s="131"/>
      <c r="M22" s="131"/>
      <c r="N22" s="131"/>
      <c r="O22" s="131"/>
      <c r="P22" s="1418"/>
    </row>
    <row r="23" spans="1:16">
      <c r="A23" s="1427">
        <f t="shared" si="0"/>
        <v>13</v>
      </c>
      <c r="B23" s="1441" t="s">
        <v>715</v>
      </c>
      <c r="C23" s="443">
        <v>0</v>
      </c>
      <c r="D23" s="443">
        <v>0</v>
      </c>
      <c r="E23" s="443">
        <v>0</v>
      </c>
      <c r="F23" s="443">
        <v>0</v>
      </c>
      <c r="G23" s="443">
        <v>0</v>
      </c>
      <c r="H23" s="443">
        <v>0</v>
      </c>
      <c r="I23" s="131"/>
      <c r="J23" s="131"/>
      <c r="K23" s="131"/>
      <c r="L23" s="131"/>
      <c r="M23" s="131"/>
      <c r="N23" s="131"/>
      <c r="O23" s="131"/>
      <c r="P23" s="1418"/>
    </row>
    <row r="24" spans="1:16" ht="13.5" thickBot="1">
      <c r="A24" s="1428">
        <f t="shared" si="0"/>
        <v>14</v>
      </c>
      <c r="B24" s="1896" t="s">
        <v>1011</v>
      </c>
      <c r="C24" s="1904">
        <f t="shared" ref="C24:H24" si="1">SUM(C11:C23)/13</f>
        <v>0</v>
      </c>
      <c r="D24" s="1904">
        <f t="shared" si="1"/>
        <v>0</v>
      </c>
      <c r="E24" s="1904">
        <f t="shared" si="1"/>
        <v>0</v>
      </c>
      <c r="F24" s="1904">
        <f t="shared" si="1"/>
        <v>0</v>
      </c>
      <c r="G24" s="1904">
        <f t="shared" si="1"/>
        <v>0</v>
      </c>
      <c r="H24" s="1905">
        <f t="shared" si="1"/>
        <v>0</v>
      </c>
      <c r="I24" s="131"/>
      <c r="J24" s="131"/>
      <c r="K24" s="131"/>
      <c r="L24" s="131"/>
      <c r="M24" s="131"/>
      <c r="N24" s="131"/>
      <c r="O24" s="131"/>
      <c r="P24" s="1418"/>
    </row>
    <row r="25" spans="1:16" ht="13.5" thickTop="1">
      <c r="A25" s="1413"/>
      <c r="B25" s="1234"/>
      <c r="C25"/>
      <c r="D25"/>
      <c r="E25"/>
      <c r="F25"/>
      <c r="G25"/>
      <c r="H25" s="474"/>
      <c r="I25" s="131"/>
      <c r="J25" s="131"/>
      <c r="K25" s="131"/>
      <c r="L25" s="131"/>
      <c r="M25" s="131"/>
      <c r="N25" s="131"/>
      <c r="O25" s="131"/>
      <c r="P25" s="1418"/>
    </row>
    <row r="26" spans="1:16" ht="14.25" customHeight="1">
      <c r="A26" s="1413"/>
      <c r="B26" s="1234"/>
      <c r="C26" s="1235"/>
      <c r="D26" s="1235"/>
      <c r="E26" s="1235"/>
      <c r="F26" s="474"/>
      <c r="G26" s="474"/>
      <c r="H26" s="474"/>
      <c r="I26" s="131"/>
      <c r="J26" s="131"/>
      <c r="K26" s="131"/>
      <c r="L26" s="131"/>
      <c r="M26" s="131"/>
      <c r="N26" s="131"/>
      <c r="O26" s="131"/>
      <c r="P26" s="1418"/>
    </row>
    <row r="27" spans="1:16" ht="12.75" customHeight="1">
      <c r="A27" s="1413"/>
      <c r="B27" s="1211"/>
      <c r="C27" s="2273" t="s">
        <v>720</v>
      </c>
      <c r="D27" s="2274"/>
      <c r="E27" s="2274"/>
      <c r="F27" s="2274"/>
      <c r="G27" s="2275"/>
      <c r="H27" s="1442"/>
      <c r="I27" s="1442"/>
      <c r="J27" s="131"/>
      <c r="K27" s="131"/>
      <c r="L27" s="131"/>
      <c r="M27" s="131"/>
      <c r="N27" s="131"/>
      <c r="O27" s="131"/>
      <c r="P27" s="1418"/>
    </row>
    <row r="28" spans="1:16" s="1421" customFormat="1" ht="29.25" customHeight="1">
      <c r="A28" s="1419" t="s">
        <v>693</v>
      </c>
      <c r="B28" s="1213" t="s">
        <v>676</v>
      </c>
      <c r="C28" s="2147" t="s">
        <v>699</v>
      </c>
      <c r="D28" s="2147" t="s">
        <v>700</v>
      </c>
      <c r="E28" s="2147" t="s">
        <v>701</v>
      </c>
      <c r="F28" s="1215" t="s">
        <v>722</v>
      </c>
      <c r="G28" s="1420" t="s">
        <v>723</v>
      </c>
      <c r="J28" s="131"/>
      <c r="K28" s="131"/>
      <c r="L28" s="131"/>
      <c r="M28" s="131"/>
      <c r="N28" s="131"/>
      <c r="O28" s="131"/>
      <c r="P28" s="1418"/>
    </row>
    <row r="29" spans="1:16" s="1423" customFormat="1">
      <c r="A29" s="1422"/>
      <c r="B29" s="1219" t="s">
        <v>702</v>
      </c>
      <c r="C29" s="2151" t="s">
        <v>703</v>
      </c>
      <c r="D29" s="2151" t="s">
        <v>704</v>
      </c>
      <c r="E29" s="2151" t="s">
        <v>705</v>
      </c>
      <c r="F29" s="1221" t="s">
        <v>706</v>
      </c>
      <c r="G29" s="1221" t="s">
        <v>707</v>
      </c>
      <c r="J29" s="131"/>
      <c r="K29" s="131"/>
      <c r="L29" s="131"/>
      <c r="M29" s="131"/>
      <c r="N29" s="131"/>
      <c r="O29" s="131"/>
      <c r="P29" s="1418"/>
    </row>
    <row r="30" spans="1:16" s="1423" customFormat="1" ht="52.5" customHeight="1">
      <c r="A30" s="1422"/>
      <c r="B30" s="1219"/>
      <c r="C30" s="1425" t="s">
        <v>129</v>
      </c>
      <c r="D30" s="1425" t="s">
        <v>717</v>
      </c>
      <c r="E30" s="1425" t="s">
        <v>179</v>
      </c>
      <c r="F30" s="1425" t="s">
        <v>651</v>
      </c>
      <c r="G30" s="1426" t="s">
        <v>651</v>
      </c>
      <c r="J30" s="131"/>
      <c r="K30" s="131"/>
      <c r="L30" s="131"/>
      <c r="M30" s="131"/>
      <c r="N30" s="131"/>
      <c r="O30" s="131"/>
      <c r="P30" s="1418"/>
    </row>
    <row r="31" spans="1:16">
      <c r="A31" s="1422">
        <f>+A24+1</f>
        <v>15</v>
      </c>
      <c r="B31" s="1227" t="s">
        <v>712</v>
      </c>
      <c r="C31" s="452">
        <v>0</v>
      </c>
      <c r="D31" s="443">
        <v>0</v>
      </c>
      <c r="E31" s="443">
        <v>0</v>
      </c>
      <c r="F31" s="443">
        <v>0</v>
      </c>
      <c r="G31" s="444">
        <v>0</v>
      </c>
      <c r="J31" s="131"/>
      <c r="K31" s="131"/>
      <c r="L31" s="131"/>
      <c r="M31" s="131"/>
      <c r="N31" s="131"/>
      <c r="O31" s="131"/>
      <c r="P31" s="1418"/>
    </row>
    <row r="32" spans="1:16">
      <c r="A32" s="1422">
        <f>+A31+1</f>
        <v>16</v>
      </c>
      <c r="B32" s="1227" t="s">
        <v>319</v>
      </c>
      <c r="C32" s="443"/>
      <c r="D32" s="443"/>
      <c r="E32" s="443"/>
      <c r="F32" s="443"/>
      <c r="G32" s="443"/>
      <c r="J32" s="131"/>
      <c r="K32" s="131"/>
      <c r="L32" s="131"/>
      <c r="M32" s="131"/>
      <c r="N32" s="131"/>
      <c r="O32" s="131"/>
      <c r="P32" s="1418"/>
    </row>
    <row r="33" spans="1:16">
      <c r="A33" s="1422">
        <f t="shared" ref="A33:A44" si="2">+A32+1</f>
        <v>17</v>
      </c>
      <c r="B33" s="1229" t="s">
        <v>512</v>
      </c>
      <c r="C33" s="443"/>
      <c r="D33" s="443"/>
      <c r="E33" s="443"/>
      <c r="F33" s="443"/>
      <c r="G33" s="443"/>
      <c r="J33" s="131"/>
      <c r="K33" s="131"/>
      <c r="L33" s="131"/>
      <c r="M33" s="131"/>
      <c r="N33" s="131"/>
      <c r="O33" s="131"/>
      <c r="P33" s="1418"/>
    </row>
    <row r="34" spans="1:16">
      <c r="A34" s="1422">
        <f t="shared" si="2"/>
        <v>18</v>
      </c>
      <c r="B34" s="1229" t="s">
        <v>713</v>
      </c>
      <c r="C34" s="443"/>
      <c r="D34" s="443"/>
      <c r="E34" s="443"/>
      <c r="F34" s="443"/>
      <c r="G34" s="443"/>
      <c r="J34" s="131"/>
      <c r="K34" s="131"/>
      <c r="L34" s="131"/>
      <c r="M34" s="131"/>
      <c r="N34" s="131"/>
      <c r="O34" s="131"/>
      <c r="P34" s="1418"/>
    </row>
    <row r="35" spans="1:16">
      <c r="A35" s="1422">
        <f t="shared" si="2"/>
        <v>19</v>
      </c>
      <c r="B35" s="1229" t="s">
        <v>321</v>
      </c>
      <c r="C35" s="443"/>
      <c r="D35" s="443"/>
      <c r="E35" s="443"/>
      <c r="F35" s="443"/>
      <c r="G35" s="443"/>
      <c r="J35" s="131"/>
      <c r="K35" s="131"/>
      <c r="L35" s="131"/>
      <c r="M35" s="131"/>
      <c r="N35" s="131"/>
      <c r="O35" s="131"/>
      <c r="P35" s="1418"/>
    </row>
    <row r="36" spans="1:16">
      <c r="A36" s="1422">
        <f t="shared" si="2"/>
        <v>20</v>
      </c>
      <c r="B36" s="1229" t="s">
        <v>322</v>
      </c>
      <c r="C36" s="443"/>
      <c r="D36" s="443"/>
      <c r="E36" s="443"/>
      <c r="F36" s="443"/>
      <c r="G36" s="443"/>
      <c r="J36" s="131"/>
      <c r="K36" s="131"/>
      <c r="L36" s="131"/>
      <c r="M36" s="131"/>
      <c r="N36" s="131"/>
      <c r="O36" s="131"/>
      <c r="P36" s="1418"/>
    </row>
    <row r="37" spans="1:16">
      <c r="A37" s="1422">
        <f t="shared" si="2"/>
        <v>21</v>
      </c>
      <c r="B37" s="1229" t="s">
        <v>48</v>
      </c>
      <c r="C37" s="443"/>
      <c r="D37" s="443"/>
      <c r="E37" s="443"/>
      <c r="F37" s="443"/>
      <c r="G37" s="443"/>
      <c r="J37" s="131"/>
      <c r="K37" s="131"/>
      <c r="L37" s="131"/>
      <c r="M37" s="131"/>
      <c r="N37" s="131"/>
      <c r="O37" s="131"/>
      <c r="P37" s="1418"/>
    </row>
    <row r="38" spans="1:16">
      <c r="A38" s="1422">
        <f t="shared" si="2"/>
        <v>22</v>
      </c>
      <c r="B38" s="1229" t="s">
        <v>323</v>
      </c>
      <c r="C38" s="443"/>
      <c r="D38" s="443"/>
      <c r="E38" s="443"/>
      <c r="F38" s="443"/>
      <c r="G38" s="443"/>
      <c r="J38" s="131"/>
      <c r="K38" s="131"/>
      <c r="L38" s="131"/>
      <c r="M38" s="131"/>
      <c r="N38" s="131"/>
      <c r="O38" s="131"/>
      <c r="P38" s="1418"/>
    </row>
    <row r="39" spans="1:16">
      <c r="A39" s="1422">
        <f t="shared" si="2"/>
        <v>23</v>
      </c>
      <c r="B39" s="1229" t="s">
        <v>714</v>
      </c>
      <c r="C39" s="443"/>
      <c r="D39" s="443"/>
      <c r="E39" s="443"/>
      <c r="F39" s="443"/>
      <c r="G39" s="443"/>
      <c r="J39" s="131"/>
      <c r="K39" s="131"/>
      <c r="L39" s="131"/>
      <c r="M39" s="131"/>
      <c r="N39" s="131"/>
      <c r="O39" s="131"/>
      <c r="P39" s="1418"/>
    </row>
    <row r="40" spans="1:16">
      <c r="A40" s="1422">
        <f t="shared" si="2"/>
        <v>24</v>
      </c>
      <c r="B40" s="1229" t="s">
        <v>326</v>
      </c>
      <c r="C40" s="443"/>
      <c r="D40" s="443"/>
      <c r="E40" s="443"/>
      <c r="F40" s="443"/>
      <c r="G40" s="443"/>
      <c r="J40" s="131"/>
      <c r="K40" s="131"/>
      <c r="L40" s="131"/>
      <c r="M40" s="131"/>
      <c r="N40" s="131"/>
      <c r="O40" s="131"/>
      <c r="P40" s="1418"/>
    </row>
    <row r="41" spans="1:16">
      <c r="A41" s="1422">
        <f t="shared" si="2"/>
        <v>25</v>
      </c>
      <c r="B41" s="1229" t="s">
        <v>513</v>
      </c>
      <c r="C41" s="443"/>
      <c r="D41" s="443"/>
      <c r="E41" s="443"/>
      <c r="F41" s="443"/>
      <c r="G41" s="443"/>
      <c r="J41" s="131"/>
      <c r="K41" s="131"/>
      <c r="L41" s="131"/>
      <c r="M41" s="131"/>
      <c r="N41" s="131"/>
      <c r="O41" s="131"/>
      <c r="P41" s="1418"/>
    </row>
    <row r="42" spans="1:16">
      <c r="A42" s="1422">
        <f t="shared" si="2"/>
        <v>26</v>
      </c>
      <c r="B42" s="1229" t="s">
        <v>514</v>
      </c>
      <c r="C42" s="443"/>
      <c r="D42" s="443"/>
      <c r="E42" s="443"/>
      <c r="F42" s="443"/>
      <c r="G42" s="443"/>
      <c r="J42" s="131"/>
      <c r="K42" s="131"/>
      <c r="L42" s="131"/>
      <c r="M42" s="131"/>
      <c r="N42" s="131"/>
      <c r="O42" s="131"/>
      <c r="P42" s="1418"/>
    </row>
    <row r="43" spans="1:16">
      <c r="A43" s="1427">
        <f t="shared" si="2"/>
        <v>27</v>
      </c>
      <c r="B43" s="1231" t="s">
        <v>715</v>
      </c>
      <c r="C43" s="443">
        <v>0</v>
      </c>
      <c r="D43" s="443">
        <v>0</v>
      </c>
      <c r="E43" s="443">
        <v>0</v>
      </c>
      <c r="F43" s="443">
        <v>0</v>
      </c>
      <c r="G43" s="444">
        <v>0</v>
      </c>
      <c r="J43" s="131"/>
      <c r="K43" s="131"/>
      <c r="L43" s="131"/>
      <c r="M43" s="131"/>
      <c r="N43" s="131"/>
      <c r="O43" s="131"/>
      <c r="P43" s="1418"/>
    </row>
    <row r="44" spans="1:16" ht="13.5" thickBot="1">
      <c r="A44" s="1428">
        <f t="shared" si="2"/>
        <v>28</v>
      </c>
      <c r="B44" s="1896" t="s">
        <v>1011</v>
      </c>
      <c r="C44" s="1904">
        <f>SUM(C31:C43)/13</f>
        <v>0</v>
      </c>
      <c r="D44" s="1904">
        <f>SUM(D31:D43)/13</f>
        <v>0</v>
      </c>
      <c r="E44" s="1904">
        <f>SUM(E31:E43)/13</f>
        <v>0</v>
      </c>
      <c r="F44" s="1904">
        <f>SUM(F31:F43)/13</f>
        <v>0</v>
      </c>
      <c r="G44" s="1905">
        <f>SUM(G31:G43)/13</f>
        <v>0</v>
      </c>
      <c r="J44" s="131"/>
      <c r="K44" s="131"/>
      <c r="L44" s="131"/>
      <c r="M44" s="131"/>
      <c r="N44" s="131"/>
      <c r="O44" s="131"/>
      <c r="P44" s="1418"/>
    </row>
    <row r="45" spans="1:16" ht="13.5" thickTop="1">
      <c r="A45" s="1413"/>
      <c r="B45" s="1234"/>
      <c r="C45"/>
      <c r="D45"/>
      <c r="E45"/>
      <c r="F45" s="474"/>
      <c r="G45" s="474"/>
      <c r="H45" s="131"/>
      <c r="I45" s="131"/>
      <c r="J45" s="131"/>
      <c r="K45" s="131"/>
      <c r="L45" s="131"/>
      <c r="M45" s="131"/>
      <c r="N45" s="131"/>
      <c r="O45" s="131"/>
      <c r="P45" s="1418"/>
    </row>
    <row r="46" spans="1:16">
      <c r="A46" s="1413">
        <f>+A44+1</f>
        <v>29</v>
      </c>
      <c r="B46" s="1234" t="str">
        <f>"Transmission Accumulated,  net of GSU and Excluded- Ln "&amp;A24&amp;" Col "&amp;E9&amp;" less Ln "&amp;A44&amp;" Cols. "&amp;F29&amp;" &amp; "&amp;G29</f>
        <v>Transmission Accumulated,  net of GSU and Excluded- Ln 14 Col (d) less Ln 28 Cols. (e) &amp; (f)</v>
      </c>
      <c r="C46" s="1235"/>
      <c r="D46" s="1235"/>
      <c r="G46" s="473">
        <f>+E24-F44-G44</f>
        <v>0</v>
      </c>
      <c r="H46" s="474"/>
      <c r="I46" s="474"/>
      <c r="J46" s="474"/>
      <c r="K46" s="1235"/>
      <c r="L46" s="1235"/>
      <c r="M46" s="1235"/>
      <c r="N46" s="1429"/>
      <c r="O46" s="1429"/>
      <c r="P46" s="1418"/>
    </row>
    <row r="47" spans="1:16">
      <c r="A47" s="1413"/>
      <c r="B47" s="1234"/>
      <c r="C47" s="1235"/>
      <c r="D47" s="1235"/>
      <c r="E47" s="1235"/>
      <c r="F47" s="474"/>
      <c r="G47" s="474"/>
      <c r="H47" s="474"/>
      <c r="I47" s="474"/>
      <c r="J47" s="474"/>
      <c r="K47" s="1235"/>
      <c r="L47" s="1235"/>
      <c r="M47" s="1235"/>
      <c r="N47" s="1429"/>
      <c r="O47" s="1429"/>
      <c r="P47" s="1418"/>
    </row>
    <row r="48" spans="1:16">
      <c r="A48" s="1413"/>
      <c r="B48" s="1234"/>
      <c r="C48" s="1235"/>
      <c r="D48" s="1235"/>
      <c r="E48" s="1235"/>
      <c r="F48" s="474"/>
      <c r="G48" s="474"/>
      <c r="H48" s="474"/>
      <c r="I48" s="474"/>
      <c r="J48" s="474"/>
      <c r="K48" s="1235"/>
      <c r="L48" s="1235"/>
      <c r="M48" s="1235"/>
      <c r="N48" s="1429"/>
      <c r="O48" s="1429"/>
      <c r="P48" s="1418"/>
    </row>
    <row r="49" spans="1:8">
      <c r="A49" s="1440"/>
      <c r="B49" s="1440"/>
      <c r="C49" s="1440"/>
      <c r="D49" s="1440"/>
      <c r="E49" s="1440"/>
      <c r="F49" s="1440"/>
      <c r="G49" s="1440"/>
      <c r="H49" s="1440"/>
    </row>
    <row r="50" spans="1:8">
      <c r="A50" s="1440"/>
      <c r="B50" s="1440"/>
      <c r="C50" s="1440"/>
      <c r="D50" s="1440"/>
      <c r="E50" s="1440"/>
      <c r="F50" s="1440"/>
      <c r="G50" s="1440"/>
      <c r="H50" s="1440"/>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Transco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zoomScaleNormal="100" workbookViewId="0">
      <selection activeCell="E9" sqref="E9"/>
    </sheetView>
  </sheetViews>
  <sheetFormatPr defaultColWidth="9.28515625" defaultRowHeight="12.75"/>
  <cols>
    <col min="1" max="1" width="9.28515625" style="394"/>
    <col min="2" max="3" width="27.7109375" style="394" customWidth="1"/>
    <col min="4" max="4" width="41.28515625" style="394" customWidth="1"/>
    <col min="5" max="16384" width="9.28515625" style="394"/>
  </cols>
  <sheetData>
    <row r="1" spans="1:13" ht="15">
      <c r="A1" s="477"/>
    </row>
    <row r="2" spans="1:13" ht="15">
      <c r="A2" s="2192" t="str">
        <f>+'SWT TCOS'!F4</f>
        <v xml:space="preserve">AEP West SPP Member Transmission Companies </v>
      </c>
      <c r="B2" s="2192"/>
      <c r="C2" s="2192"/>
      <c r="D2" s="2192"/>
      <c r="E2" s="275"/>
      <c r="F2" s="275"/>
      <c r="G2" s="275"/>
      <c r="H2" s="275"/>
      <c r="I2" s="275"/>
      <c r="J2" s="275"/>
      <c r="K2" s="275"/>
      <c r="L2" s="275"/>
      <c r="M2" s="275"/>
    </row>
    <row r="3" spans="1:13" ht="15">
      <c r="A3" s="2302" t="str">
        <f>+'SWT WS A-1 - Plant'!A3</f>
        <v xml:space="preserve">Actual / Projected 2022 Rate Year Cost of Service Formula Rate </v>
      </c>
      <c r="B3" s="2302"/>
      <c r="C3" s="2302"/>
      <c r="D3" s="2302"/>
      <c r="E3" s="1412"/>
      <c r="F3" s="1412"/>
      <c r="G3" s="1412"/>
      <c r="H3" s="1412"/>
      <c r="I3" s="1412"/>
      <c r="J3" s="1412"/>
      <c r="K3" s="1412"/>
      <c r="L3" s="1412"/>
      <c r="M3" s="1412"/>
    </row>
    <row r="4" spans="1:13" ht="15.75">
      <c r="A4" s="2303" t="s">
        <v>624</v>
      </c>
      <c r="B4" s="2303"/>
      <c r="C4" s="2303"/>
      <c r="D4" s="2303"/>
      <c r="E4" s="1412"/>
      <c r="F4" s="1412"/>
      <c r="G4" s="1412"/>
      <c r="H4" s="1412"/>
      <c r="I4" s="1412"/>
      <c r="J4" s="1412"/>
      <c r="K4" s="1412"/>
      <c r="L4" s="1412"/>
      <c r="M4" s="1412"/>
    </row>
    <row r="5" spans="1:13" ht="15.75">
      <c r="A5" s="2193" t="str">
        <f>+'SWT TCOS'!F8</f>
        <v>AEP SOUTHWESTERN TRANSMISSION COMPANY</v>
      </c>
      <c r="B5" s="2193"/>
      <c r="C5" s="2193"/>
      <c r="D5" s="2193"/>
      <c r="E5" s="479"/>
      <c r="F5" s="479"/>
      <c r="G5" s="479"/>
      <c r="H5" s="479"/>
      <c r="I5" s="479"/>
      <c r="J5" s="479"/>
      <c r="K5" s="479"/>
      <c r="L5" s="479"/>
      <c r="M5" s="479"/>
    </row>
    <row r="6" spans="1:13">
      <c r="A6" s="1443"/>
      <c r="B6" s="1443"/>
      <c r="C6" s="1443"/>
      <c r="D6" s="1443"/>
    </row>
    <row r="7" spans="1:13" ht="14.25">
      <c r="A7" s="481" t="s">
        <v>524</v>
      </c>
      <c r="B7" s="482"/>
      <c r="C7" s="1444" t="s">
        <v>342</v>
      </c>
      <c r="D7" s="1445" t="s">
        <v>306</v>
      </c>
    </row>
    <row r="8" spans="1:13" ht="15">
      <c r="A8" s="1446"/>
      <c r="B8" s="1447"/>
      <c r="C8" s="1448"/>
      <c r="D8" s="1448"/>
    </row>
    <row r="9" spans="1:13" ht="14.25">
      <c r="A9" s="488">
        <v>1</v>
      </c>
      <c r="B9" s="489" t="s">
        <v>526</v>
      </c>
      <c r="C9" s="490"/>
      <c r="D9" s="443">
        <v>0</v>
      </c>
      <c r="E9"/>
    </row>
    <row r="10" spans="1:13" ht="14.25">
      <c r="A10" s="490"/>
      <c r="B10" s="490"/>
      <c r="C10" s="490"/>
      <c r="D10" s="490"/>
    </row>
    <row r="11" spans="1:13" ht="14.25">
      <c r="A11" s="490"/>
      <c r="B11" s="490"/>
      <c r="C11" s="490"/>
      <c r="D11" s="490"/>
    </row>
    <row r="12" spans="1:13" ht="119.25" customHeight="1">
      <c r="A12" s="491" t="s">
        <v>525</v>
      </c>
      <c r="B12" s="2194" t="s">
        <v>619</v>
      </c>
      <c r="C12" s="2194"/>
      <c r="D12" s="2194"/>
    </row>
    <row r="13" spans="1:13" ht="14.25">
      <c r="A13" s="490"/>
      <c r="B13" s="490"/>
      <c r="C13" s="490"/>
      <c r="D13" s="490"/>
    </row>
    <row r="14" spans="1:13" ht="14.25">
      <c r="A14" s="490"/>
      <c r="B14" s="490"/>
      <c r="C14" s="490"/>
      <c r="D14" s="490"/>
    </row>
    <row r="15" spans="1:13" s="276" customFormat="1" ht="14.25">
      <c r="A15" s="492"/>
      <c r="B15" s="492"/>
      <c r="C15" s="492"/>
      <c r="D15" s="492"/>
    </row>
    <row r="16" spans="1:13" s="276" customFormat="1" ht="14.25">
      <c r="A16" s="494"/>
      <c r="B16" s="495"/>
      <c r="C16" s="492"/>
      <c r="D16" s="492"/>
    </row>
    <row r="17" spans="1:2" ht="15" customHeight="1">
      <c r="A17" s="496"/>
    </row>
    <row r="18" spans="1:2" ht="15.75">
      <c r="B18" s="497"/>
    </row>
    <row r="19" spans="1:2" ht="15.75">
      <c r="B19" s="497"/>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244"/>
  <sheetViews>
    <sheetView zoomScale="81" zoomScaleNormal="81" zoomScaleSheetLayoutView="93" zoomScalePageLayoutView="80" workbookViewId="0">
      <selection activeCell="D17" sqref="D17"/>
    </sheetView>
  </sheetViews>
  <sheetFormatPr defaultColWidth="9.28515625" defaultRowHeight="12.75"/>
  <cols>
    <col min="1" max="2" width="9.7109375" style="1449" customWidth="1"/>
    <col min="3" max="3" width="50.7109375" style="1450" customWidth="1"/>
    <col min="4" max="10" width="16.7109375" style="1450" customWidth="1"/>
    <col min="11" max="11" width="13.7109375" style="1450" customWidth="1"/>
    <col min="12" max="16384" width="9.28515625" style="1450"/>
  </cols>
  <sheetData>
    <row r="1" spans="1:16" ht="15">
      <c r="A1" s="498"/>
    </row>
    <row r="2" spans="1:16" ht="18">
      <c r="A2" s="2197" t="str">
        <f>+'SWT TCOS'!F4</f>
        <v xml:space="preserve">AEP West SPP Member Transmission Companies </v>
      </c>
      <c r="B2" s="2197"/>
      <c r="C2" s="2197"/>
      <c r="D2" s="2197"/>
      <c r="E2" s="2197"/>
      <c r="F2" s="2197"/>
      <c r="G2" s="2197"/>
      <c r="H2" s="2197"/>
      <c r="I2" s="2197"/>
      <c r="J2" s="2197"/>
      <c r="K2" s="501"/>
      <c r="L2" s="276"/>
      <c r="M2" s="276"/>
      <c r="N2" s="276"/>
      <c r="O2" s="276"/>
      <c r="P2" s="276"/>
    </row>
    <row r="3" spans="1:16" ht="18">
      <c r="A3" s="2305" t="str">
        <f>+'SWT WS A-1 - Plant'!A3</f>
        <v xml:space="preserve">Actual / Projected 2022 Rate Year Cost of Service Formula Rate </v>
      </c>
      <c r="B3" s="2305"/>
      <c r="C3" s="2305"/>
      <c r="D3" s="2305"/>
      <c r="E3" s="2305"/>
      <c r="F3" s="2305"/>
      <c r="G3" s="2305"/>
      <c r="H3" s="2305"/>
      <c r="I3" s="2305"/>
      <c r="J3" s="2305"/>
      <c r="K3" s="501"/>
      <c r="L3" s="276"/>
      <c r="M3" s="276"/>
      <c r="N3" s="276"/>
      <c r="O3" s="276"/>
      <c r="P3" s="276"/>
    </row>
    <row r="4" spans="1:16" ht="18">
      <c r="A4" s="2305" t="s">
        <v>527</v>
      </c>
      <c r="B4" s="2305"/>
      <c r="C4" s="2305"/>
      <c r="D4" s="2305"/>
      <c r="E4" s="2305"/>
      <c r="F4" s="2305"/>
      <c r="G4" s="2305"/>
      <c r="H4" s="2305"/>
      <c r="I4" s="2305"/>
      <c r="J4" s="2305"/>
    </row>
    <row r="5" spans="1:16" ht="18">
      <c r="A5" s="2199" t="str">
        <f>+'SWT TCOS'!F8</f>
        <v>AEP SOUTHWESTERN TRANSMISSION COMPANY</v>
      </c>
      <c r="B5" s="2199"/>
      <c r="C5" s="2199"/>
      <c r="D5" s="2199"/>
      <c r="E5" s="2199"/>
      <c r="F5" s="2199"/>
      <c r="G5" s="2199"/>
      <c r="H5" s="2199"/>
      <c r="I5" s="2199"/>
      <c r="J5" s="2199"/>
    </row>
    <row r="6" spans="1:16" ht="20.25">
      <c r="B6" s="502"/>
      <c r="C6" s="503"/>
      <c r="D6" s="503"/>
      <c r="E6" s="504"/>
      <c r="F6" s="503"/>
      <c r="G6" s="503"/>
      <c r="H6" s="503"/>
      <c r="I6" s="503"/>
      <c r="J6" s="504"/>
    </row>
    <row r="7" spans="1:16" ht="20.25">
      <c r="B7" s="502"/>
      <c r="C7" s="504" t="s">
        <v>251</v>
      </c>
      <c r="D7" s="503"/>
      <c r="E7" s="504"/>
      <c r="F7" s="503"/>
      <c r="G7" s="503"/>
      <c r="H7" s="503"/>
      <c r="I7" s="503"/>
      <c r="J7" s="503"/>
    </row>
    <row r="8" spans="1:16">
      <c r="C8" s="505"/>
      <c r="G8" s="1449"/>
      <c r="H8" s="1449"/>
      <c r="I8" s="1449"/>
    </row>
    <row r="9" spans="1:16">
      <c r="B9" s="506" t="s">
        <v>298</v>
      </c>
      <c r="C9" s="506" t="s">
        <v>299</v>
      </c>
      <c r="D9" s="506" t="s">
        <v>300</v>
      </c>
      <c r="E9" s="506" t="s">
        <v>226</v>
      </c>
      <c r="F9" s="506" t="s">
        <v>227</v>
      </c>
      <c r="G9" s="506" t="s">
        <v>228</v>
      </c>
      <c r="H9" s="506" t="s">
        <v>233</v>
      </c>
      <c r="I9" s="506" t="s">
        <v>174</v>
      </c>
      <c r="J9" s="506" t="s">
        <v>73</v>
      </c>
    </row>
    <row r="10" spans="1:16">
      <c r="E10" s="507" t="s">
        <v>251</v>
      </c>
      <c r="F10" s="508" t="s">
        <v>229</v>
      </c>
      <c r="G10" s="506" t="s">
        <v>155</v>
      </c>
      <c r="H10" s="506" t="s">
        <v>74</v>
      </c>
      <c r="I10" s="506" t="s">
        <v>251</v>
      </c>
      <c r="J10" s="506" t="s">
        <v>314</v>
      </c>
    </row>
    <row r="11" spans="1:16">
      <c r="A11" s="506" t="s">
        <v>305</v>
      </c>
      <c r="C11" s="509"/>
      <c r="D11" s="506"/>
      <c r="E11" s="506" t="s">
        <v>251</v>
      </c>
      <c r="F11" s="506" t="s">
        <v>252</v>
      </c>
      <c r="G11" s="506" t="s">
        <v>190</v>
      </c>
      <c r="H11" s="506" t="s">
        <v>75</v>
      </c>
      <c r="I11" s="506" t="s">
        <v>297</v>
      </c>
      <c r="J11" s="506" t="s">
        <v>72</v>
      </c>
    </row>
    <row r="12" spans="1:16">
      <c r="A12" s="510" t="s">
        <v>254</v>
      </c>
      <c r="B12" s="510" t="s">
        <v>232</v>
      </c>
      <c r="C12" s="510" t="s">
        <v>303</v>
      </c>
      <c r="D12" s="510" t="s">
        <v>230</v>
      </c>
      <c r="E12" s="510" t="s">
        <v>76</v>
      </c>
      <c r="F12" s="510" t="s">
        <v>191</v>
      </c>
      <c r="G12" s="510" t="s">
        <v>191</v>
      </c>
      <c r="H12" s="510" t="s">
        <v>77</v>
      </c>
      <c r="I12" s="510" t="s">
        <v>191</v>
      </c>
      <c r="J12" s="510" t="s">
        <v>1023</v>
      </c>
    </row>
    <row r="13" spans="1:16">
      <c r="C13" s="505"/>
      <c r="G13" s="1449"/>
      <c r="H13" s="1449"/>
      <c r="I13" s="1449"/>
    </row>
    <row r="14" spans="1:16" ht="12.75" customHeight="1">
      <c r="C14" s="509"/>
      <c r="G14" s="1449"/>
      <c r="H14" s="1449"/>
      <c r="I14" s="1449"/>
    </row>
    <row r="15" spans="1:16" ht="12.75" customHeight="1">
      <c r="B15" s="511" t="s">
        <v>501</v>
      </c>
      <c r="C15" s="509"/>
      <c r="G15" s="1449"/>
      <c r="H15" s="1449"/>
      <c r="I15" s="1449"/>
    </row>
    <row r="16" spans="1:16" ht="12.75" customHeight="1">
      <c r="C16" s="509"/>
      <c r="G16" s="1449"/>
      <c r="H16" s="1449"/>
      <c r="I16" s="1449"/>
    </row>
    <row r="17" spans="1:10" ht="15.75">
      <c r="C17" s="512" t="s">
        <v>503</v>
      </c>
      <c r="D17" s="2139"/>
    </row>
    <row r="18" spans="1:10" ht="6" customHeight="1">
      <c r="C18" s="513"/>
    </row>
    <row r="19" spans="1:10" ht="12.75" customHeight="1">
      <c r="A19" s="1449">
        <v>1</v>
      </c>
      <c r="B19" s="1451" t="s">
        <v>80</v>
      </c>
      <c r="C19" s="676" t="str">
        <f>""&amp;'SWT TCOS'!N2&amp;" Year End Tax Deferrals - WS C-1"</f>
        <v>2022 Year End Tax Deferrals - WS C-1</v>
      </c>
      <c r="D19" s="1452">
        <f>+'SWT WS C-1 ADIT EOY'!H17</f>
        <v>-2.8421709430404007E-14</v>
      </c>
      <c r="E19" s="1452">
        <f>+'SWT WS C-1 ADIT EOY'!J17</f>
        <v>0</v>
      </c>
      <c r="F19" s="1452">
        <f>+'SWT WS C-1 ADIT EOY'!K17</f>
        <v>-2.8421709430404007E-14</v>
      </c>
      <c r="G19" s="1452">
        <f>+'SWT WS C-1 ADIT EOY'!L17</f>
        <v>0</v>
      </c>
      <c r="H19" s="1452">
        <f>+'SWT WS C-1 ADIT EOY'!M17</f>
        <v>0</v>
      </c>
      <c r="I19" s="1452">
        <f>+'SWT WS C-1 ADIT EOY'!N17</f>
        <v>0</v>
      </c>
      <c r="J19" s="1453"/>
    </row>
    <row r="20" spans="1:10" ht="12.75" customHeight="1">
      <c r="A20" s="1449">
        <f>+A19+1</f>
        <v>2</v>
      </c>
      <c r="B20" s="1451" t="s">
        <v>80</v>
      </c>
      <c r="C20" s="676" t="str">
        <f>""&amp;'SWT TCOS'!N2-1&amp;" Year End Tax Deferrals - WS C-2"</f>
        <v>2021 Year End Tax Deferrals - WS C-2</v>
      </c>
      <c r="D20" s="1452">
        <f>+'SWT WS C-2 ADIT BOY'!H17</f>
        <v>129.99999999999997</v>
      </c>
      <c r="E20" s="1452">
        <f>+'SWT WS C-2 ADIT BOY'!J17</f>
        <v>-174</v>
      </c>
      <c r="F20" s="1452">
        <f>+'SWT WS C-2 ADIT BOY'!K17</f>
        <v>62.595999999999975</v>
      </c>
      <c r="G20" s="1452">
        <f>+'SWT WS C-2 ADIT BOY'!L17</f>
        <v>0</v>
      </c>
      <c r="H20" s="1452">
        <f>+'SWT WS C-2 ADIT BOY'!M17</f>
        <v>0</v>
      </c>
      <c r="I20" s="1452">
        <f>+'SWT WS C-2 ADIT BOY'!N17</f>
        <v>0</v>
      </c>
      <c r="J20" s="1449"/>
    </row>
    <row r="21" spans="1:10" ht="12.75" customHeight="1">
      <c r="B21" s="518" t="s">
        <v>251</v>
      </c>
      <c r="D21" s="1454"/>
      <c r="E21" s="1455"/>
      <c r="F21" s="1454"/>
      <c r="G21" s="1454" t="s">
        <v>251</v>
      </c>
      <c r="H21" s="1454"/>
      <c r="I21" s="1454"/>
    </row>
    <row r="22" spans="1:10" ht="12.75" customHeight="1">
      <c r="A22" s="1449">
        <f>+A20+1</f>
        <v>3</v>
      </c>
      <c r="C22" s="509" t="s">
        <v>78</v>
      </c>
      <c r="D22" s="1456">
        <f t="shared" ref="D22:I22" si="0">D19+D20</f>
        <v>129.99999999999994</v>
      </c>
      <c r="E22" s="1456">
        <f t="shared" si="0"/>
        <v>-174</v>
      </c>
      <c r="F22" s="1456">
        <f t="shared" si="0"/>
        <v>62.595999999999947</v>
      </c>
      <c r="G22" s="1456">
        <f t="shared" si="0"/>
        <v>0</v>
      </c>
      <c r="H22" s="1456">
        <f t="shared" si="0"/>
        <v>0</v>
      </c>
      <c r="I22" s="1456">
        <f t="shared" si="0"/>
        <v>0</v>
      </c>
      <c r="J22" s="1457"/>
    </row>
    <row r="23" spans="1:10" ht="12.75" customHeight="1">
      <c r="A23" s="1449">
        <f>+A22+1</f>
        <v>4</v>
      </c>
      <c r="C23" s="509" t="s">
        <v>614</v>
      </c>
      <c r="D23" s="1458">
        <f t="shared" ref="D23:I23" si="1">D22/2</f>
        <v>64.999999999999972</v>
      </c>
      <c r="E23" s="1458">
        <f t="shared" si="1"/>
        <v>-87</v>
      </c>
      <c r="F23" s="1458">
        <f t="shared" si="1"/>
        <v>31.297999999999973</v>
      </c>
      <c r="G23" s="1458">
        <f t="shared" si="1"/>
        <v>0</v>
      </c>
      <c r="H23" s="1459">
        <f t="shared" si="1"/>
        <v>0</v>
      </c>
      <c r="I23" s="1456">
        <f t="shared" si="1"/>
        <v>0</v>
      </c>
      <c r="J23" s="1457"/>
    </row>
    <row r="24" spans="1:10" ht="12.75" customHeight="1">
      <c r="A24" s="1449">
        <f>+A23+1</f>
        <v>5</v>
      </c>
      <c r="B24" s="1460"/>
      <c r="C24" s="1461" t="str">
        <f>"Proration Adjustment - WS C-3, Ln "&amp;'SWT WS C-3 ADIT Proration'!A34</f>
        <v>Proration Adjustment - WS C-3, Ln 19</v>
      </c>
      <c r="D24" s="1458"/>
      <c r="E24" s="1458"/>
      <c r="F24" s="1458"/>
      <c r="G24" s="1458">
        <f>'SWT WS C-3 ADIT Proration'!I34</f>
        <v>0</v>
      </c>
      <c r="H24" s="1459"/>
      <c r="I24" s="1462"/>
      <c r="J24" s="1457"/>
    </row>
    <row r="25" spans="1:10" ht="12.75" customHeight="1">
      <c r="A25" s="1449">
        <f>+A24+1</f>
        <v>6</v>
      </c>
      <c r="C25" s="509" t="s">
        <v>523</v>
      </c>
      <c r="D25" s="1463">
        <f t="shared" ref="D25:I25" si="2">+D23+D24</f>
        <v>64.999999999999972</v>
      </c>
      <c r="E25" s="1463">
        <f t="shared" si="2"/>
        <v>-87</v>
      </c>
      <c r="F25" s="1463">
        <f t="shared" si="2"/>
        <v>31.297999999999973</v>
      </c>
      <c r="G25" s="1463">
        <f t="shared" si="2"/>
        <v>0</v>
      </c>
      <c r="H25" s="1463">
        <f t="shared" si="2"/>
        <v>0</v>
      </c>
      <c r="I25" s="1463">
        <f t="shared" si="2"/>
        <v>0</v>
      </c>
      <c r="J25" s="1457"/>
    </row>
    <row r="26" spans="1:10" ht="12.75" customHeight="1">
      <c r="A26" s="1449">
        <f>+A25+1</f>
        <v>7</v>
      </c>
      <c r="B26" s="529"/>
      <c r="C26" s="530" t="s">
        <v>615</v>
      </c>
      <c r="D26" s="1464"/>
      <c r="E26" s="532">
        <v>0</v>
      </c>
      <c r="F26" s="532">
        <v>1</v>
      </c>
      <c r="G26" s="532">
        <f>'SWT TCOS'!J63</f>
        <v>1</v>
      </c>
      <c r="H26" s="532">
        <f>'SWT TCOS'!J64</f>
        <v>1</v>
      </c>
      <c r="I26" s="532">
        <f>'SWT TCOS'!L221</f>
        <v>1</v>
      </c>
    </row>
    <row r="27" spans="1:10" ht="12.75" customHeight="1">
      <c r="A27" s="1449">
        <f>+A26+1</f>
        <v>8</v>
      </c>
      <c r="C27" s="509" t="s">
        <v>79</v>
      </c>
      <c r="E27" s="1457">
        <f>E26*E25</f>
        <v>0</v>
      </c>
      <c r="F27" s="1457">
        <f>F26*F25</f>
        <v>31.297999999999973</v>
      </c>
      <c r="G27" s="1457">
        <f>G26*G25</f>
        <v>0</v>
      </c>
      <c r="H27" s="1457">
        <f>H26*H25</f>
        <v>0</v>
      </c>
      <c r="I27" s="1457">
        <f>I26*I25</f>
        <v>0</v>
      </c>
      <c r="J27" s="533">
        <f>SUM(F27:I27)</f>
        <v>31.297999999999973</v>
      </c>
    </row>
    <row r="28" spans="1:10" ht="12.75" customHeight="1">
      <c r="C28" s="513"/>
    </row>
    <row r="29" spans="1:10" ht="12.75" customHeight="1">
      <c r="C29" s="513"/>
    </row>
    <row r="30" spans="1:10" ht="12.75" customHeight="1">
      <c r="C30" s="512" t="s">
        <v>504</v>
      </c>
      <c r="D30" s="2139"/>
    </row>
    <row r="31" spans="1:10" ht="6" customHeight="1">
      <c r="C31" s="513"/>
    </row>
    <row r="32" spans="1:10" ht="12.75" customHeight="1">
      <c r="A32" s="1449">
        <f>+A27:B27+1</f>
        <v>9</v>
      </c>
      <c r="B32" s="1451" t="s">
        <v>91</v>
      </c>
      <c r="C32" s="676" t="str">
        <f>+C19</f>
        <v>2022 Year End Tax Deferrals - WS C-1</v>
      </c>
      <c r="D32" s="1452">
        <f>+'SWT WS C-1 ADIT EOY'!H36</f>
        <v>-13669.320000000014</v>
      </c>
      <c r="E32" s="1452">
        <f>+'SWT WS C-1 ADIT EOY'!J36</f>
        <v>-239038.74000000002</v>
      </c>
      <c r="F32" s="1452">
        <f>+'SWT WS C-1 ADIT EOY'!K36</f>
        <v>225369.42</v>
      </c>
      <c r="G32" s="1452">
        <f>+'SWT WS C-1 ADIT EOY'!L36</f>
        <v>0</v>
      </c>
      <c r="H32" s="1452">
        <f>+'SWT WS C-1 ADIT EOY'!M36</f>
        <v>0</v>
      </c>
      <c r="I32" s="1452">
        <f>+'SWT WS C-1 ADIT EOY'!N36</f>
        <v>0</v>
      </c>
      <c r="J32" s="1453"/>
    </row>
    <row r="33" spans="1:10" ht="12.75" customHeight="1">
      <c r="A33" s="1449">
        <f>+A32+1</f>
        <v>10</v>
      </c>
      <c r="B33" s="1451" t="s">
        <v>91</v>
      </c>
      <c r="C33" s="676" t="str">
        <f>+C20</f>
        <v>2021 Year End Tax Deferrals - WS C-2</v>
      </c>
      <c r="D33" s="1452">
        <f>+'SWT WS C-2 ADIT BOY'!H36</f>
        <v>-6148.5900000000047</v>
      </c>
      <c r="E33" s="1452">
        <f>+'SWT WS C-2 ADIT BOY'!J36</f>
        <v>-238118.476</v>
      </c>
      <c r="F33" s="1452">
        <f>+'SWT WS C-2 ADIT BOY'!K36</f>
        <v>233768.35200000001</v>
      </c>
      <c r="G33" s="1452">
        <f>+'SWT WS C-2 ADIT BOY'!L36</f>
        <v>0</v>
      </c>
      <c r="H33" s="1452">
        <f>+'SWT WS C-2 ADIT BOY'!M36</f>
        <v>0</v>
      </c>
      <c r="I33" s="1452">
        <f>+'SWT WS C-2 ADIT BOY'!N36</f>
        <v>0</v>
      </c>
      <c r="J33" s="1449"/>
    </row>
    <row r="34" spans="1:10" ht="12.75" customHeight="1">
      <c r="B34" s="518" t="s">
        <v>251</v>
      </c>
      <c r="D34" s="1454"/>
      <c r="E34" s="1455"/>
      <c r="F34" s="1454"/>
      <c r="G34" s="1454" t="s">
        <v>251</v>
      </c>
      <c r="H34" s="1454"/>
      <c r="I34" s="1454"/>
    </row>
    <row r="35" spans="1:10" ht="12.75" customHeight="1">
      <c r="A35" s="1449">
        <f>+A33+1</f>
        <v>11</v>
      </c>
      <c r="C35" s="509" t="s">
        <v>78</v>
      </c>
      <c r="D35" s="1456">
        <f t="shared" ref="D35:I35" si="3">D32+D33</f>
        <v>-19817.910000000018</v>
      </c>
      <c r="E35" s="1456">
        <f t="shared" si="3"/>
        <v>-477157.21600000001</v>
      </c>
      <c r="F35" s="1456">
        <f t="shared" si="3"/>
        <v>459137.772</v>
      </c>
      <c r="G35" s="1456">
        <f t="shared" si="3"/>
        <v>0</v>
      </c>
      <c r="H35" s="1456">
        <f t="shared" si="3"/>
        <v>0</v>
      </c>
      <c r="I35" s="1456">
        <f t="shared" si="3"/>
        <v>0</v>
      </c>
      <c r="J35" s="1457"/>
    </row>
    <row r="36" spans="1:10" ht="12.75" customHeight="1">
      <c r="A36" s="1449">
        <f>+A35+1</f>
        <v>12</v>
      </c>
      <c r="C36" s="509" t="s">
        <v>349</v>
      </c>
      <c r="D36" s="1458">
        <f t="shared" ref="D36:I36" si="4">D35/2</f>
        <v>-9908.955000000009</v>
      </c>
      <c r="E36" s="1458">
        <f t="shared" si="4"/>
        <v>-238578.60800000001</v>
      </c>
      <c r="F36" s="1458">
        <f t="shared" si="4"/>
        <v>229568.886</v>
      </c>
      <c r="G36" s="1458">
        <f t="shared" si="4"/>
        <v>0</v>
      </c>
      <c r="H36" s="1458">
        <f t="shared" si="4"/>
        <v>0</v>
      </c>
      <c r="I36" s="1458">
        <f t="shared" si="4"/>
        <v>0</v>
      </c>
      <c r="J36" s="1457"/>
    </row>
    <row r="37" spans="1:10" ht="12.75" customHeight="1">
      <c r="A37" s="1449">
        <f>+A36+1</f>
        <v>13</v>
      </c>
      <c r="B37" s="529"/>
      <c r="C37" s="530" t="s">
        <v>616</v>
      </c>
      <c r="D37" s="1464"/>
      <c r="E37" s="532">
        <f>E26</f>
        <v>0</v>
      </c>
      <c r="F37" s="532">
        <f>F26</f>
        <v>1</v>
      </c>
      <c r="G37" s="532">
        <f>G26</f>
        <v>1</v>
      </c>
      <c r="H37" s="532">
        <f>H26</f>
        <v>1</v>
      </c>
      <c r="I37" s="532">
        <f>I26</f>
        <v>1</v>
      </c>
    </row>
    <row r="38" spans="1:10" ht="12.75" customHeight="1">
      <c r="A38" s="1449">
        <f>+A37+1</f>
        <v>14</v>
      </c>
      <c r="C38" s="509" t="s">
        <v>79</v>
      </c>
      <c r="E38" s="1457">
        <f>E36*E37</f>
        <v>0</v>
      </c>
      <c r="F38" s="1457">
        <f>F36*F37</f>
        <v>229568.886</v>
      </c>
      <c r="G38" s="1457">
        <f>G36*G37</f>
        <v>0</v>
      </c>
      <c r="H38" s="1457">
        <f>H36*H37</f>
        <v>0</v>
      </c>
      <c r="I38" s="1457">
        <f>I36*I37</f>
        <v>0</v>
      </c>
      <c r="J38" s="533">
        <f>SUM(F38:I38)</f>
        <v>229568.886</v>
      </c>
    </row>
    <row r="39" spans="1:10" ht="12.75" customHeight="1">
      <c r="C39" s="513"/>
    </row>
    <row r="40" spans="1:10" ht="12.75" customHeight="1">
      <c r="B40" s="534"/>
      <c r="C40" s="535"/>
      <c r="D40" s="535"/>
      <c r="E40" s="535"/>
      <c r="F40" s="535"/>
      <c r="G40" s="535"/>
      <c r="H40" s="535"/>
      <c r="I40" s="535"/>
      <c r="J40" s="535"/>
    </row>
    <row r="41" spans="1:10" ht="12.75" customHeight="1">
      <c r="C41" s="509"/>
      <c r="E41" s="1457"/>
      <c r="F41" s="1457"/>
      <c r="G41" s="1457"/>
      <c r="H41" s="1457"/>
      <c r="I41" s="1457"/>
      <c r="J41" s="1465"/>
    </row>
    <row r="42" spans="1:10" ht="15.75">
      <c r="C42" s="512" t="s">
        <v>502</v>
      </c>
      <c r="D42" s="2139"/>
    </row>
    <row r="43" spans="1:10" ht="12.75" customHeight="1">
      <c r="I43" s="537"/>
    </row>
    <row r="44" spans="1:10" ht="12.75" customHeight="1">
      <c r="A44" s="1449">
        <f>+A38+1</f>
        <v>15</v>
      </c>
      <c r="B44" s="1466">
        <v>190.1</v>
      </c>
      <c r="C44" s="676" t="str">
        <f>+C19</f>
        <v>2022 Year End Tax Deferrals - WS C-1</v>
      </c>
      <c r="D44" s="1452">
        <f>+'SWT WS C-1 ADIT EOY'!H54</f>
        <v>1497.6699999999691</v>
      </c>
      <c r="E44" s="1452">
        <f>+'SWT WS C-1 ADIT EOY'!J54</f>
        <v>-385350.4621</v>
      </c>
      <c r="F44" s="1452">
        <f>+'SWT WS C-1 ADIT EOY'!K54</f>
        <v>386848.13209999999</v>
      </c>
      <c r="G44" s="1452">
        <f>+'SWT WS C-1 ADIT EOY'!L54</f>
        <v>0</v>
      </c>
      <c r="H44" s="1452">
        <f>+'SWT WS C-1 ADIT EOY'!M54</f>
        <v>0</v>
      </c>
      <c r="I44" s="1452">
        <f>+'SWT WS C-1 ADIT EOY'!N54</f>
        <v>0</v>
      </c>
      <c r="J44" s="1453"/>
    </row>
    <row r="45" spans="1:10">
      <c r="A45" s="1449">
        <f>+A44+1</f>
        <v>16</v>
      </c>
      <c r="B45" s="1466">
        <v>190.1</v>
      </c>
      <c r="C45" s="676" t="str">
        <f>+C20</f>
        <v>2021 Year End Tax Deferrals - WS C-2</v>
      </c>
      <c r="D45" s="1452">
        <f>+'SWT WS C-2 ADIT BOY'!H54</f>
        <v>55398.080000000016</v>
      </c>
      <c r="E45" s="1452">
        <f>+'SWT WS C-2 ADIT BOY'!J54</f>
        <v>-434496.24999999994</v>
      </c>
      <c r="F45" s="1452">
        <f>+'SWT WS C-2 ADIT BOY'!K54</f>
        <v>489894.32999999996</v>
      </c>
      <c r="G45" s="1452">
        <f>+'SWT WS C-2 ADIT BOY'!L54</f>
        <v>0</v>
      </c>
      <c r="H45" s="1452">
        <f>+'SWT WS C-2 ADIT BOY'!M54</f>
        <v>0</v>
      </c>
      <c r="I45" s="1452">
        <f>+'SWT WS C-2 ADIT BOY'!N54</f>
        <v>0</v>
      </c>
      <c r="J45" s="1449"/>
    </row>
    <row r="46" spans="1:10">
      <c r="B46" s="518" t="s">
        <v>251</v>
      </c>
      <c r="D46" s="1454"/>
      <c r="E46" s="1455"/>
      <c r="F46" s="1454"/>
      <c r="G46" s="1454" t="s">
        <v>251</v>
      </c>
      <c r="H46" s="1454"/>
      <c r="I46" s="1454"/>
    </row>
    <row r="47" spans="1:10">
      <c r="A47" s="1449">
        <f>+A45+1</f>
        <v>17</v>
      </c>
      <c r="C47" s="509" t="s">
        <v>78</v>
      </c>
      <c r="D47" s="1456">
        <f t="shared" ref="D47:I47" si="5">D44+D45</f>
        <v>56895.749999999985</v>
      </c>
      <c r="E47" s="1456">
        <f t="shared" si="5"/>
        <v>-819846.71209999989</v>
      </c>
      <c r="F47" s="1456">
        <f t="shared" si="5"/>
        <v>876742.46209999989</v>
      </c>
      <c r="G47" s="1456">
        <f t="shared" si="5"/>
        <v>0</v>
      </c>
      <c r="H47" s="1456">
        <f t="shared" si="5"/>
        <v>0</v>
      </c>
      <c r="I47" s="1456">
        <f t="shared" si="5"/>
        <v>0</v>
      </c>
      <c r="J47" s="1457"/>
    </row>
    <row r="48" spans="1:10">
      <c r="A48" s="1449">
        <f>+A47+1</f>
        <v>18</v>
      </c>
      <c r="C48" s="509" t="s">
        <v>614</v>
      </c>
      <c r="D48" s="1459">
        <f t="shared" ref="D48:I48" si="6">D47/2</f>
        <v>28447.874999999993</v>
      </c>
      <c r="E48" s="1459">
        <f t="shared" si="6"/>
        <v>-409923.35604999994</v>
      </c>
      <c r="F48" s="1459">
        <f t="shared" si="6"/>
        <v>438371.23104999994</v>
      </c>
      <c r="G48" s="1459">
        <f t="shared" si="6"/>
        <v>0</v>
      </c>
      <c r="H48" s="1459">
        <f t="shared" si="6"/>
        <v>0</v>
      </c>
      <c r="I48" s="1459">
        <f t="shared" si="6"/>
        <v>0</v>
      </c>
      <c r="J48" s="1457"/>
    </row>
    <row r="49" spans="1:10">
      <c r="A49" s="1449">
        <f>+A48+1</f>
        <v>19</v>
      </c>
      <c r="C49" s="1461" t="str">
        <f>"Proration Adjustment - WS C-3, Ln "&amp;'SWT WS C-3 ADIT Proration'!A60</f>
        <v>Proration Adjustment - WS C-3, Ln 38</v>
      </c>
      <c r="D49" s="1458"/>
      <c r="E49" s="1458"/>
      <c r="F49" s="1458">
        <f>+'SWT WS C-3 ADIT Proration'!I60</f>
        <v>0</v>
      </c>
      <c r="G49" s="1458"/>
      <c r="H49" s="1459"/>
      <c r="I49" s="1462"/>
      <c r="J49" s="1457"/>
    </row>
    <row r="50" spans="1:10">
      <c r="A50" s="1449">
        <f>+A49+1</f>
        <v>20</v>
      </c>
      <c r="C50" s="509" t="s">
        <v>523</v>
      </c>
      <c r="D50" s="1463">
        <f t="shared" ref="D50:I50" si="7">+D48+D49</f>
        <v>28447.874999999993</v>
      </c>
      <c r="E50" s="1463">
        <f t="shared" si="7"/>
        <v>-409923.35604999994</v>
      </c>
      <c r="F50" s="1463">
        <f t="shared" si="7"/>
        <v>438371.23104999994</v>
      </c>
      <c r="G50" s="1463">
        <f t="shared" si="7"/>
        <v>0</v>
      </c>
      <c r="H50" s="1463">
        <f t="shared" si="7"/>
        <v>0</v>
      </c>
      <c r="I50" s="1463">
        <f t="shared" si="7"/>
        <v>0</v>
      </c>
      <c r="J50" s="1457"/>
    </row>
    <row r="51" spans="1:10" ht="12.75" customHeight="1">
      <c r="A51" s="1449">
        <f>+A50+1</f>
        <v>21</v>
      </c>
      <c r="B51" s="529"/>
      <c r="C51" s="530" t="s">
        <v>615</v>
      </c>
      <c r="D51" s="1464"/>
      <c r="E51" s="532">
        <v>0</v>
      </c>
      <c r="F51" s="532">
        <v>1</v>
      </c>
      <c r="G51" s="532">
        <f>G37</f>
        <v>1</v>
      </c>
      <c r="H51" s="532">
        <f>H37</f>
        <v>1</v>
      </c>
      <c r="I51" s="532">
        <f>I37</f>
        <v>1</v>
      </c>
    </row>
    <row r="52" spans="1:10">
      <c r="A52" s="1449">
        <f>+A51+1</f>
        <v>22</v>
      </c>
      <c r="C52" s="509" t="s">
        <v>79</v>
      </c>
      <c r="E52" s="1457">
        <f>E51*E50</f>
        <v>0</v>
      </c>
      <c r="F52" s="1457">
        <f>F51*F50</f>
        <v>438371.23104999994</v>
      </c>
      <c r="G52" s="1457">
        <f>G51*G50</f>
        <v>0</v>
      </c>
      <c r="H52" s="1457">
        <f>H51*H50</f>
        <v>0</v>
      </c>
      <c r="I52" s="1457">
        <f>I51*I50</f>
        <v>0</v>
      </c>
      <c r="J52" s="533">
        <f>SUM(F52:I52)</f>
        <v>438371.23104999994</v>
      </c>
    </row>
    <row r="53" spans="1:10">
      <c r="E53" s="1467"/>
      <c r="F53" s="1467"/>
      <c r="G53" s="1467"/>
      <c r="I53" s="537"/>
    </row>
    <row r="54" spans="1:10">
      <c r="E54" s="540"/>
      <c r="F54" s="1467"/>
      <c r="G54" s="2195" t="s">
        <v>71</v>
      </c>
      <c r="I54" s="537"/>
      <c r="J54" s="1457" t="s">
        <v>251</v>
      </c>
    </row>
    <row r="55" spans="1:10" ht="15.75">
      <c r="C55" s="512" t="s">
        <v>81</v>
      </c>
      <c r="E55" s="540"/>
      <c r="F55" s="1467"/>
      <c r="G55" s="2306"/>
    </row>
    <row r="56" spans="1:10" ht="6.75" customHeight="1">
      <c r="C56" s="513"/>
      <c r="E56" s="540"/>
      <c r="F56" s="1467"/>
      <c r="G56" s="2306"/>
    </row>
    <row r="57" spans="1:10" ht="15.75">
      <c r="C57" s="541"/>
      <c r="D57" s="2139"/>
      <c r="G57" s="2306"/>
    </row>
    <row r="58" spans="1:10">
      <c r="A58" s="1449">
        <f>+A52+1</f>
        <v>23</v>
      </c>
      <c r="B58" s="1468">
        <v>255</v>
      </c>
      <c r="C58" s="1469" t="str">
        <f>"Acc Defrd ITC - Federal - 12/31/"&amp;'SWT TCOS'!N2&amp;" (FF1 p. 267, Ln 2.h)"</f>
        <v>Acc Defrd ITC - Federal - 12/31/2022 (FF1 p. 267, Ln 2.h)</v>
      </c>
      <c r="D58" s="1470">
        <v>0</v>
      </c>
      <c r="E58" s="1452"/>
      <c r="F58" s="1452"/>
      <c r="G58" s="1452">
        <v>0</v>
      </c>
      <c r="H58" s="1452"/>
      <c r="I58" s="1452"/>
      <c r="J58" s="1453"/>
    </row>
    <row r="59" spans="1:10">
      <c r="A59" s="1449">
        <f>+A58+1</f>
        <v>24</v>
      </c>
      <c r="B59" s="1468">
        <v>255</v>
      </c>
      <c r="C59" s="1469" t="str">
        <f>"Acc Defrd ITC - Federal - 12/31/"&amp;'SWT TCOS'!N2-1&amp;" (FF1 p. 266, Ln 2.b)"</f>
        <v>Acc Defrd ITC - Federal - 12/31/2021 (FF1 p. 266, Ln 2.b)</v>
      </c>
      <c r="D59" s="1470">
        <v>0</v>
      </c>
      <c r="E59" s="1452"/>
      <c r="F59" s="1452"/>
      <c r="G59" s="1452">
        <f>D59</f>
        <v>0</v>
      </c>
      <c r="H59" s="1452"/>
      <c r="I59" s="1452"/>
      <c r="J59" s="1449"/>
    </row>
    <row r="60" spans="1:10">
      <c r="B60" s="518" t="s">
        <v>251</v>
      </c>
      <c r="D60" s="1454"/>
      <c r="E60" s="1454"/>
      <c r="F60" s="1454"/>
      <c r="G60" s="1454" t="s">
        <v>251</v>
      </c>
      <c r="H60" s="1454"/>
      <c r="I60" s="1454"/>
    </row>
    <row r="61" spans="1:10">
      <c r="A61" s="1449">
        <f>+A59+1</f>
        <v>25</v>
      </c>
      <c r="C61" s="509" t="s">
        <v>78</v>
      </c>
      <c r="D61" s="1456">
        <f>D58+D59</f>
        <v>0</v>
      </c>
      <c r="E61" s="1456"/>
      <c r="F61" s="1456"/>
      <c r="G61" s="1456">
        <f>G58+G59</f>
        <v>0</v>
      </c>
      <c r="H61" s="1456"/>
      <c r="I61" s="1456"/>
      <c r="J61" s="1457"/>
    </row>
    <row r="62" spans="1:10">
      <c r="A62" s="1449">
        <f>+A61+1</f>
        <v>26</v>
      </c>
      <c r="C62" s="509" t="s">
        <v>349</v>
      </c>
      <c r="D62" s="1458">
        <f>D61/2</f>
        <v>0</v>
      </c>
      <c r="E62" s="1458"/>
      <c r="F62" s="1458"/>
      <c r="G62" s="1458">
        <f>G61/2</f>
        <v>0</v>
      </c>
      <c r="H62" s="1459"/>
      <c r="I62" s="1459"/>
      <c r="J62" s="1457"/>
    </row>
    <row r="63" spans="1:10" ht="12.75" customHeight="1">
      <c r="A63" s="1449">
        <f>+A62+1</f>
        <v>27</v>
      </c>
      <c r="B63" s="529"/>
      <c r="C63" s="530" t="s">
        <v>615</v>
      </c>
      <c r="D63" s="1464"/>
      <c r="E63" s="545"/>
      <c r="F63" s="545"/>
      <c r="G63" s="532">
        <f>G51</f>
        <v>1</v>
      </c>
      <c r="H63" s="545"/>
      <c r="I63" s="545"/>
    </row>
    <row r="64" spans="1:10">
      <c r="A64" s="1449">
        <f>+A63+1</f>
        <v>28</v>
      </c>
      <c r="C64" s="509" t="s">
        <v>79</v>
      </c>
      <c r="E64" s="545" t="s">
        <v>16</v>
      </c>
      <c r="F64" s="545" t="s">
        <v>16</v>
      </c>
      <c r="G64" s="1457">
        <f>G63*G62</f>
        <v>0</v>
      </c>
      <c r="H64" s="545" t="s">
        <v>16</v>
      </c>
      <c r="I64" s="545" t="s">
        <v>16</v>
      </c>
      <c r="J64" s="533">
        <f>SUM(F64:I64)</f>
        <v>0</v>
      </c>
    </row>
    <row r="65" spans="2:10" ht="12.75" customHeight="1">
      <c r="C65" s="513"/>
      <c r="E65" s="540"/>
      <c r="F65" s="1467"/>
      <c r="G65" s="540"/>
    </row>
    <row r="66" spans="2:10" ht="12.75" customHeight="1">
      <c r="C66" s="513"/>
      <c r="E66" s="540"/>
      <c r="F66" s="1467"/>
      <c r="G66" s="540"/>
    </row>
    <row r="67" spans="2:10" ht="12.75" customHeight="1">
      <c r="B67" s="325" t="s">
        <v>82</v>
      </c>
      <c r="C67" s="276" t="s">
        <v>83</v>
      </c>
      <c r="D67" s="276"/>
      <c r="E67" s="276"/>
      <c r="F67" s="276"/>
      <c r="G67" s="276"/>
      <c r="H67" s="276"/>
      <c r="I67" s="276"/>
      <c r="J67" s="276"/>
    </row>
    <row r="68" spans="2:10" ht="12.75" customHeight="1">
      <c r="B68" s="325"/>
      <c r="C68" s="276"/>
      <c r="D68" s="276"/>
      <c r="E68" s="276"/>
      <c r="F68" s="276"/>
      <c r="G68" s="276"/>
      <c r="H68" s="276"/>
      <c r="I68" s="276"/>
      <c r="J68" s="276"/>
    </row>
    <row r="69" spans="2:10" ht="12.75" customHeight="1">
      <c r="B69" s="325"/>
      <c r="C69" s="276"/>
      <c r="D69" s="276"/>
      <c r="E69" s="276"/>
      <c r="F69" s="276"/>
      <c r="G69" s="276"/>
      <c r="H69" s="276"/>
      <c r="I69" s="276"/>
      <c r="J69" s="276"/>
    </row>
    <row r="70" spans="2:10" ht="12.75" customHeight="1">
      <c r="B70" s="325"/>
      <c r="C70" s="276"/>
      <c r="D70" s="276"/>
      <c r="E70" s="276"/>
      <c r="F70" s="276"/>
      <c r="G70" s="276"/>
      <c r="H70" s="276"/>
      <c r="I70" s="276"/>
      <c r="J70" s="276"/>
    </row>
    <row r="71" spans="2:10" ht="12.75" customHeight="1">
      <c r="B71" s="325"/>
      <c r="C71" s="276"/>
      <c r="D71" s="276"/>
      <c r="E71" s="276"/>
      <c r="F71" s="276"/>
      <c r="G71" s="276"/>
      <c r="H71" s="276"/>
      <c r="I71" s="276"/>
      <c r="J71" s="276"/>
    </row>
    <row r="72" spans="2:10">
      <c r="B72" s="325"/>
      <c r="C72" s="276"/>
      <c r="D72" s="276"/>
      <c r="E72" s="276"/>
      <c r="F72" s="276"/>
      <c r="G72" s="276"/>
      <c r="H72" s="276"/>
      <c r="I72" s="276"/>
      <c r="J72" s="276"/>
    </row>
    <row r="73" spans="2:10">
      <c r="B73" s="325"/>
      <c r="C73" s="276"/>
      <c r="D73" s="276"/>
      <c r="E73" s="276"/>
      <c r="F73" s="276"/>
      <c r="G73" s="276"/>
      <c r="H73" s="276"/>
      <c r="I73" s="276"/>
      <c r="J73" s="276"/>
    </row>
    <row r="74" spans="2:10">
      <c r="B74" s="325"/>
      <c r="C74" s="276"/>
      <c r="D74" s="276"/>
      <c r="E74" s="276"/>
      <c r="F74" s="276"/>
      <c r="G74" s="276"/>
      <c r="H74" s="276"/>
      <c r="I74" s="276"/>
      <c r="J74" s="276"/>
    </row>
    <row r="75" spans="2:10">
      <c r="B75" s="325"/>
      <c r="C75" s="276"/>
      <c r="D75" s="276"/>
      <c r="E75" s="276"/>
      <c r="F75" s="276"/>
      <c r="G75" s="276"/>
      <c r="H75" s="276"/>
      <c r="I75" s="276"/>
      <c r="J75" s="276"/>
    </row>
    <row r="76" spans="2:10">
      <c r="B76" s="325"/>
      <c r="C76" s="276"/>
      <c r="D76" s="276"/>
      <c r="E76" s="276"/>
      <c r="F76" s="276"/>
      <c r="G76" s="276"/>
      <c r="H76" s="276"/>
      <c r="I76" s="276"/>
      <c r="J76" s="276" t="s">
        <v>251</v>
      </c>
    </row>
    <row r="77" spans="2:10">
      <c r="B77" s="325"/>
      <c r="C77" s="276"/>
      <c r="D77" s="276"/>
      <c r="E77" s="276"/>
      <c r="F77" s="276"/>
      <c r="G77" s="276"/>
      <c r="H77" s="276"/>
      <c r="I77" s="276"/>
      <c r="J77" s="276"/>
    </row>
    <row r="78" spans="2:10">
      <c r="B78" s="325"/>
      <c r="C78" s="276"/>
      <c r="D78" s="276"/>
      <c r="E78" s="276"/>
      <c r="F78" s="276"/>
      <c r="G78" s="276"/>
      <c r="H78" s="276"/>
      <c r="I78" s="276"/>
      <c r="J78" s="276"/>
    </row>
    <row r="79" spans="2:10">
      <c r="B79" s="325"/>
      <c r="C79" s="276"/>
      <c r="D79" s="276"/>
      <c r="E79" s="276"/>
      <c r="F79" s="276"/>
      <c r="G79" s="276"/>
      <c r="H79" s="276"/>
      <c r="I79" s="276"/>
      <c r="J79" s="276"/>
    </row>
    <row r="80" spans="2:10">
      <c r="B80" s="325"/>
      <c r="C80" s="276"/>
      <c r="D80" s="276"/>
      <c r="E80" s="276"/>
      <c r="F80" s="276"/>
      <c r="G80" s="276"/>
      <c r="H80" s="276"/>
      <c r="I80" s="276"/>
      <c r="J80" s="276"/>
    </row>
    <row r="81" spans="2:11">
      <c r="B81" s="325"/>
      <c r="C81" s="276"/>
      <c r="D81" s="276"/>
      <c r="E81" s="276"/>
      <c r="F81" s="276"/>
      <c r="G81" s="276"/>
      <c r="H81" s="276"/>
      <c r="I81" s="276"/>
      <c r="J81" s="276"/>
    </row>
    <row r="82" spans="2:11">
      <c r="B82" s="325"/>
      <c r="C82" s="276"/>
      <c r="D82" s="276"/>
      <c r="E82" s="276"/>
      <c r="F82" s="276"/>
      <c r="G82" s="276"/>
      <c r="H82" s="276"/>
      <c r="I82" s="276"/>
      <c r="J82" s="276"/>
    </row>
    <row r="83" spans="2:11">
      <c r="B83" s="325"/>
      <c r="C83" s="276"/>
      <c r="D83" s="276"/>
      <c r="E83" s="276"/>
      <c r="F83" s="276"/>
      <c r="G83" s="276"/>
      <c r="H83" s="276"/>
      <c r="I83" s="276"/>
      <c r="J83" s="276"/>
    </row>
    <row r="84" spans="2:11">
      <c r="B84" s="325"/>
      <c r="C84" s="276"/>
      <c r="D84" s="276"/>
      <c r="E84" s="276"/>
      <c r="F84" s="276"/>
      <c r="G84" s="276"/>
      <c r="H84" s="276"/>
      <c r="I84" s="276"/>
      <c r="J84" s="276"/>
      <c r="K84" s="276"/>
    </row>
    <row r="85" spans="2:11">
      <c r="B85" s="325"/>
      <c r="C85" s="276"/>
      <c r="D85" s="276"/>
      <c r="E85" s="276"/>
      <c r="F85" s="276"/>
      <c r="G85" s="276"/>
      <c r="H85" s="276"/>
      <c r="I85" s="276"/>
      <c r="J85" s="276"/>
      <c r="K85" s="276"/>
    </row>
    <row r="86" spans="2:11">
      <c r="B86" s="325"/>
      <c r="C86" s="276"/>
      <c r="D86" s="276"/>
      <c r="E86" s="276"/>
      <c r="F86" s="276"/>
      <c r="G86" s="276"/>
      <c r="H86" s="276"/>
      <c r="I86" s="276"/>
      <c r="J86" s="276"/>
      <c r="K86" s="276"/>
    </row>
    <row r="87" spans="2:11">
      <c r="B87" s="325"/>
      <c r="C87" s="276"/>
      <c r="D87" s="276"/>
      <c r="E87" s="276"/>
      <c r="F87" s="276"/>
      <c r="G87" s="276"/>
      <c r="H87" s="276"/>
      <c r="I87" s="276"/>
      <c r="J87" s="276"/>
      <c r="K87" s="276"/>
    </row>
    <row r="88" spans="2:11">
      <c r="B88" s="325"/>
      <c r="C88" s="276"/>
      <c r="D88" s="276"/>
      <c r="E88" s="276"/>
      <c r="F88" s="276"/>
      <c r="G88" s="276"/>
      <c r="H88" s="276"/>
      <c r="I88" s="276"/>
      <c r="J88" s="276"/>
      <c r="K88" s="276"/>
    </row>
    <row r="89" spans="2:11">
      <c r="B89" s="325"/>
      <c r="C89" s="276"/>
      <c r="D89" s="276"/>
      <c r="E89" s="276"/>
      <c r="F89" s="276"/>
      <c r="G89" s="276"/>
      <c r="H89" s="276"/>
      <c r="I89" s="276"/>
      <c r="J89" s="276"/>
      <c r="K89" s="276"/>
    </row>
    <row r="90" spans="2:11">
      <c r="B90" s="325"/>
      <c r="C90" s="276"/>
      <c r="D90" s="276"/>
      <c r="E90" s="276"/>
      <c r="F90" s="276"/>
      <c r="G90" s="276"/>
      <c r="H90" s="276"/>
      <c r="I90" s="276"/>
      <c r="J90" s="276"/>
      <c r="K90" s="276"/>
    </row>
    <row r="91" spans="2:11">
      <c r="B91" s="325"/>
      <c r="C91" s="276"/>
      <c r="D91" s="276"/>
      <c r="E91" s="276"/>
      <c r="F91" s="276"/>
      <c r="G91" s="276"/>
      <c r="H91" s="276"/>
      <c r="I91" s="276"/>
      <c r="J91" s="276"/>
      <c r="K91" s="276"/>
    </row>
    <row r="92" spans="2:11">
      <c r="B92" s="325"/>
      <c r="C92" s="276"/>
      <c r="D92" s="276"/>
      <c r="E92" s="276"/>
      <c r="F92" s="276"/>
      <c r="G92" s="276"/>
      <c r="H92" s="276"/>
      <c r="I92" s="276"/>
      <c r="J92" s="276"/>
      <c r="K92" s="276"/>
    </row>
    <row r="93" spans="2:11">
      <c r="B93" s="325"/>
      <c r="C93" s="276"/>
      <c r="D93" s="276"/>
      <c r="E93" s="276"/>
      <c r="F93" s="276"/>
      <c r="G93" s="276"/>
      <c r="H93" s="276"/>
      <c r="I93" s="276"/>
      <c r="J93" s="276"/>
      <c r="K93" s="276"/>
    </row>
    <row r="94" spans="2:11">
      <c r="B94" s="325"/>
      <c r="C94" s="276"/>
      <c r="D94" s="276"/>
      <c r="E94" s="276"/>
      <c r="F94" s="276"/>
      <c r="G94" s="276"/>
      <c r="H94" s="276"/>
      <c r="I94" s="276"/>
      <c r="J94" s="276"/>
      <c r="K94" s="276"/>
    </row>
    <row r="95" spans="2:11">
      <c r="B95" s="325"/>
      <c r="C95" s="276"/>
      <c r="D95" s="276"/>
      <c r="E95" s="276"/>
      <c r="F95" s="276"/>
      <c r="G95" s="276"/>
      <c r="H95" s="276"/>
      <c r="I95" s="276"/>
      <c r="J95" s="276"/>
      <c r="K95" s="276"/>
    </row>
    <row r="96" spans="2:11">
      <c r="B96" s="325"/>
      <c r="C96" s="276"/>
      <c r="D96" s="276"/>
      <c r="E96" s="276"/>
      <c r="F96" s="276"/>
      <c r="G96" s="276"/>
      <c r="H96" s="276"/>
      <c r="I96" s="276"/>
      <c r="J96" s="276"/>
      <c r="K96" s="276"/>
    </row>
    <row r="97" spans="2:11">
      <c r="B97" s="325"/>
      <c r="C97" s="276"/>
      <c r="D97" s="276"/>
      <c r="E97" s="276"/>
      <c r="F97" s="276"/>
      <c r="G97" s="276"/>
      <c r="H97" s="276"/>
      <c r="I97" s="276"/>
      <c r="J97" s="276"/>
      <c r="K97" s="276"/>
    </row>
    <row r="98" spans="2:11">
      <c r="B98" s="325"/>
      <c r="C98" s="276"/>
      <c r="D98" s="276"/>
      <c r="E98" s="276"/>
      <c r="F98" s="276"/>
      <c r="G98" s="276"/>
      <c r="H98" s="276"/>
      <c r="I98" s="276"/>
      <c r="J98" s="276"/>
      <c r="K98" s="276"/>
    </row>
    <row r="99" spans="2:11">
      <c r="B99" s="325"/>
      <c r="C99" s="276"/>
      <c r="D99" s="276"/>
      <c r="E99" s="276"/>
      <c r="F99" s="276"/>
      <c r="G99" s="276"/>
      <c r="H99" s="276"/>
      <c r="I99" s="276"/>
      <c r="J99" s="276"/>
      <c r="K99" s="276"/>
    </row>
    <row r="100" spans="2:11">
      <c r="B100" s="325"/>
      <c r="C100" s="276"/>
      <c r="D100" s="276"/>
      <c r="E100" s="276"/>
      <c r="F100" s="276"/>
      <c r="G100" s="276"/>
      <c r="H100" s="276"/>
      <c r="I100" s="276"/>
      <c r="J100" s="276"/>
      <c r="K100" s="276"/>
    </row>
    <row r="101" spans="2:11">
      <c r="B101" s="325"/>
      <c r="C101" s="276"/>
      <c r="D101" s="276"/>
      <c r="E101" s="276"/>
      <c r="F101" s="276"/>
      <c r="G101" s="276"/>
      <c r="H101" s="276"/>
      <c r="I101" s="276"/>
      <c r="J101" s="276"/>
      <c r="K101" s="276"/>
    </row>
    <row r="102" spans="2:11">
      <c r="B102" s="325"/>
      <c r="C102" s="276"/>
      <c r="D102" s="276"/>
      <c r="E102" s="276"/>
      <c r="F102" s="276"/>
      <c r="G102" s="276"/>
      <c r="H102" s="276"/>
      <c r="I102" s="276"/>
      <c r="J102" s="276"/>
      <c r="K102" s="276"/>
    </row>
    <row r="103" spans="2:11">
      <c r="B103" s="325"/>
      <c r="C103" s="276"/>
      <c r="D103" s="276"/>
      <c r="E103" s="276"/>
      <c r="F103" s="276"/>
      <c r="G103" s="276"/>
      <c r="H103" s="276"/>
      <c r="I103" s="276"/>
      <c r="J103" s="276"/>
      <c r="K103" s="276"/>
    </row>
    <row r="104" spans="2:11">
      <c r="B104" s="325"/>
      <c r="C104" s="276"/>
      <c r="D104" s="276"/>
      <c r="E104" s="276"/>
      <c r="F104" s="276"/>
      <c r="G104" s="276"/>
      <c r="H104" s="276"/>
      <c r="I104" s="276"/>
      <c r="J104" s="276"/>
      <c r="K104" s="276"/>
    </row>
    <row r="105" spans="2:11">
      <c r="B105" s="325"/>
      <c r="C105" s="276"/>
      <c r="D105" s="276"/>
      <c r="E105" s="276"/>
      <c r="F105" s="276"/>
      <c r="G105" s="276"/>
      <c r="H105" s="276"/>
      <c r="I105" s="276"/>
      <c r="J105" s="276"/>
      <c r="K105" s="276"/>
    </row>
    <row r="106" spans="2:11">
      <c r="B106" s="325"/>
      <c r="C106" s="276"/>
      <c r="D106" s="276"/>
      <c r="E106" s="276"/>
      <c r="F106" s="276"/>
      <c r="G106" s="276"/>
      <c r="H106" s="276"/>
      <c r="I106" s="276"/>
      <c r="J106" s="276"/>
      <c r="K106" s="276"/>
    </row>
    <row r="107" spans="2:11">
      <c r="B107" s="325"/>
      <c r="C107" s="276"/>
      <c r="D107" s="276"/>
      <c r="E107" s="276"/>
      <c r="F107" s="276"/>
      <c r="G107" s="276"/>
      <c r="H107" s="276"/>
      <c r="I107" s="276"/>
      <c r="J107" s="276"/>
      <c r="K107" s="276"/>
    </row>
    <row r="108" spans="2:11">
      <c r="B108" s="325"/>
      <c r="C108" s="276"/>
      <c r="D108" s="276"/>
      <c r="E108" s="276"/>
      <c r="F108" s="276"/>
      <c r="G108" s="276"/>
      <c r="H108" s="276"/>
      <c r="I108" s="276"/>
      <c r="J108" s="276"/>
      <c r="K108" s="276"/>
    </row>
    <row r="109" spans="2:11">
      <c r="B109" s="325"/>
      <c r="C109" s="276"/>
      <c r="D109" s="276"/>
      <c r="E109" s="276"/>
      <c r="F109" s="276"/>
      <c r="G109" s="276"/>
      <c r="H109" s="276"/>
      <c r="I109" s="276"/>
      <c r="J109" s="276"/>
      <c r="K109" s="276"/>
    </row>
    <row r="110" spans="2:11">
      <c r="B110" s="325"/>
      <c r="C110" s="276"/>
      <c r="D110" s="276"/>
      <c r="E110" s="276"/>
      <c r="F110" s="276"/>
      <c r="G110" s="276"/>
      <c r="H110" s="276"/>
      <c r="I110" s="276"/>
      <c r="J110" s="276"/>
      <c r="K110" s="276"/>
    </row>
    <row r="111" spans="2:11">
      <c r="B111" s="325"/>
      <c r="C111" s="276"/>
      <c r="D111" s="276"/>
      <c r="E111" s="276"/>
      <c r="F111" s="276"/>
      <c r="G111" s="276"/>
      <c r="H111" s="276"/>
      <c r="I111" s="276"/>
      <c r="J111" s="276"/>
      <c r="K111" s="276"/>
    </row>
    <row r="112" spans="2:11">
      <c r="B112" s="325"/>
      <c r="C112" s="276"/>
      <c r="D112" s="276"/>
      <c r="E112" s="276"/>
      <c r="F112" s="276"/>
      <c r="G112" s="276"/>
      <c r="H112" s="276"/>
      <c r="I112" s="276"/>
      <c r="J112" s="276"/>
      <c r="K112" s="276"/>
    </row>
    <row r="113" spans="2:11">
      <c r="B113" s="325"/>
      <c r="C113" s="276"/>
      <c r="D113" s="276"/>
      <c r="E113" s="276"/>
      <c r="F113" s="276"/>
      <c r="G113" s="276"/>
      <c r="H113" s="276"/>
      <c r="I113" s="276"/>
      <c r="J113" s="276"/>
      <c r="K113" s="276"/>
    </row>
    <row r="114" spans="2:11">
      <c r="B114" s="325"/>
      <c r="C114" s="276"/>
      <c r="D114" s="276"/>
      <c r="E114" s="276"/>
      <c r="F114" s="276"/>
      <c r="G114" s="276"/>
      <c r="H114" s="276"/>
      <c r="I114" s="276"/>
      <c r="J114" s="276"/>
      <c r="K114" s="276"/>
    </row>
    <row r="115" spans="2:11">
      <c r="B115" s="325"/>
      <c r="C115" s="276"/>
      <c r="D115" s="276"/>
      <c r="E115" s="276"/>
      <c r="F115" s="276"/>
      <c r="G115" s="276"/>
      <c r="H115" s="276"/>
      <c r="I115" s="276"/>
      <c r="J115" s="276"/>
      <c r="K115" s="276"/>
    </row>
    <row r="116" spans="2:11">
      <c r="B116" s="325"/>
      <c r="C116" s="276"/>
      <c r="D116" s="276"/>
      <c r="E116" s="276"/>
      <c r="F116" s="276"/>
      <c r="G116" s="276"/>
      <c r="H116" s="276"/>
      <c r="I116" s="276"/>
      <c r="J116" s="276"/>
      <c r="K116" s="276"/>
    </row>
    <row r="117" spans="2:11">
      <c r="B117" s="325"/>
      <c r="C117" s="276"/>
      <c r="D117" s="276"/>
      <c r="E117" s="276"/>
      <c r="F117" s="276"/>
      <c r="G117" s="276"/>
      <c r="H117" s="276"/>
      <c r="I117" s="276"/>
      <c r="J117" s="276"/>
      <c r="K117" s="276"/>
    </row>
    <row r="118" spans="2:11">
      <c r="B118" s="325"/>
      <c r="C118" s="276"/>
      <c r="D118" s="276"/>
      <c r="E118" s="276"/>
      <c r="F118" s="276"/>
      <c r="G118" s="276"/>
      <c r="H118" s="276"/>
      <c r="I118" s="276"/>
      <c r="J118" s="276"/>
      <c r="K118" s="276"/>
    </row>
    <row r="119" spans="2:11">
      <c r="B119" s="325"/>
      <c r="C119" s="276"/>
      <c r="D119" s="276"/>
      <c r="E119" s="276"/>
      <c r="F119" s="276"/>
      <c r="G119" s="276"/>
      <c r="H119" s="276"/>
      <c r="I119" s="276"/>
      <c r="J119" s="276"/>
      <c r="K119" s="276"/>
    </row>
    <row r="120" spans="2:11">
      <c r="B120" s="325"/>
      <c r="C120" s="276"/>
      <c r="D120" s="276"/>
      <c r="E120" s="276"/>
      <c r="F120" s="276"/>
      <c r="G120" s="276"/>
      <c r="H120" s="276"/>
      <c r="I120" s="276"/>
      <c r="J120" s="276"/>
      <c r="K120" s="276"/>
    </row>
    <row r="121" spans="2:11">
      <c r="B121" s="325"/>
      <c r="C121" s="276"/>
      <c r="D121" s="276"/>
      <c r="E121" s="276"/>
      <c r="F121" s="276"/>
      <c r="G121" s="276"/>
      <c r="H121" s="276"/>
      <c r="I121" s="276"/>
      <c r="J121" s="276"/>
      <c r="K121" s="276"/>
    </row>
    <row r="122" spans="2:11">
      <c r="B122" s="325"/>
      <c r="C122" s="276"/>
      <c r="D122" s="276"/>
      <c r="E122" s="276"/>
      <c r="F122" s="276"/>
      <c r="G122" s="276"/>
      <c r="H122" s="276"/>
      <c r="I122" s="276"/>
      <c r="J122" s="276"/>
      <c r="K122" s="276"/>
    </row>
    <row r="123" spans="2:11">
      <c r="B123" s="325"/>
      <c r="C123" s="276"/>
      <c r="D123" s="276"/>
      <c r="E123" s="276"/>
      <c r="F123" s="276"/>
      <c r="G123" s="276"/>
      <c r="H123" s="276"/>
      <c r="I123" s="276"/>
      <c r="J123" s="276"/>
      <c r="K123" s="276"/>
    </row>
    <row r="124" spans="2:11">
      <c r="B124" s="325"/>
      <c r="C124" s="276"/>
      <c r="D124" s="276"/>
      <c r="E124" s="276"/>
      <c r="F124" s="276"/>
      <c r="G124" s="276"/>
      <c r="H124" s="276"/>
      <c r="I124" s="276"/>
      <c r="J124" s="276"/>
      <c r="K124" s="276"/>
    </row>
    <row r="125" spans="2:11">
      <c r="B125" s="325"/>
      <c r="C125" s="276"/>
      <c r="D125" s="276"/>
      <c r="E125" s="276"/>
      <c r="F125" s="276"/>
      <c r="G125" s="276"/>
      <c r="H125" s="276"/>
      <c r="I125" s="276"/>
      <c r="J125" s="276"/>
      <c r="K125" s="276"/>
    </row>
    <row r="126" spans="2:11">
      <c r="B126" s="325"/>
      <c r="C126" s="276"/>
      <c r="D126" s="276"/>
      <c r="E126" s="276"/>
      <c r="F126" s="276"/>
      <c r="G126" s="276"/>
      <c r="H126" s="276"/>
      <c r="I126" s="276"/>
      <c r="J126" s="276"/>
      <c r="K126" s="276"/>
    </row>
    <row r="127" spans="2:11">
      <c r="B127" s="325"/>
      <c r="C127" s="276"/>
      <c r="D127" s="276"/>
      <c r="E127" s="276"/>
      <c r="F127" s="276"/>
      <c r="G127" s="276"/>
      <c r="H127" s="276"/>
      <c r="I127" s="276"/>
      <c r="J127" s="276"/>
      <c r="K127" s="276"/>
    </row>
    <row r="128" spans="2:11">
      <c r="B128" s="325"/>
      <c r="C128" s="276"/>
      <c r="D128" s="276"/>
      <c r="E128" s="276"/>
      <c r="F128" s="276"/>
      <c r="G128" s="276"/>
      <c r="H128" s="276"/>
      <c r="I128" s="276"/>
      <c r="J128" s="276"/>
      <c r="K128" s="276"/>
    </row>
    <row r="129" spans="2:11">
      <c r="B129" s="325"/>
      <c r="C129" s="276"/>
      <c r="D129" s="276"/>
      <c r="E129" s="276"/>
      <c r="F129" s="276"/>
      <c r="G129" s="276"/>
      <c r="H129" s="276"/>
      <c r="I129" s="276"/>
      <c r="J129" s="276"/>
      <c r="K129" s="276"/>
    </row>
    <row r="130" spans="2:11">
      <c r="B130" s="325"/>
      <c r="C130" s="276"/>
      <c r="D130" s="276"/>
      <c r="E130" s="276"/>
      <c r="F130" s="276"/>
      <c r="G130" s="276"/>
      <c r="H130" s="276"/>
      <c r="I130" s="276"/>
      <c r="J130" s="276"/>
      <c r="K130" s="276"/>
    </row>
    <row r="131" spans="2:11">
      <c r="B131" s="325"/>
      <c r="C131" s="276"/>
      <c r="D131" s="276"/>
      <c r="E131" s="276"/>
      <c r="F131" s="276"/>
      <c r="G131" s="276"/>
      <c r="H131" s="276"/>
      <c r="I131" s="276"/>
      <c r="J131" s="276"/>
      <c r="K131" s="276"/>
    </row>
    <row r="132" spans="2:11">
      <c r="B132" s="325"/>
      <c r="C132" s="276"/>
      <c r="D132" s="276"/>
      <c r="E132" s="276"/>
      <c r="F132" s="276"/>
      <c r="G132" s="276"/>
      <c r="H132" s="276"/>
      <c r="I132" s="276"/>
      <c r="J132" s="276"/>
      <c r="K132" s="276"/>
    </row>
    <row r="133" spans="2:11">
      <c r="B133" s="325"/>
      <c r="C133" s="276"/>
      <c r="D133" s="276"/>
      <c r="E133" s="276"/>
      <c r="F133" s="276"/>
      <c r="G133" s="276"/>
      <c r="H133" s="276"/>
      <c r="I133" s="276"/>
      <c r="J133" s="276"/>
      <c r="K133" s="276"/>
    </row>
    <row r="134" spans="2:11">
      <c r="B134" s="325"/>
      <c r="C134" s="276"/>
      <c r="D134" s="276"/>
      <c r="E134" s="276"/>
      <c r="F134" s="276"/>
      <c r="G134" s="276"/>
      <c r="H134" s="276"/>
      <c r="I134" s="276"/>
      <c r="J134" s="276"/>
      <c r="K134" s="276"/>
    </row>
    <row r="135" spans="2:11">
      <c r="B135" s="325"/>
      <c r="C135" s="276"/>
      <c r="D135" s="276"/>
      <c r="E135" s="276"/>
      <c r="F135" s="276"/>
      <c r="G135" s="276"/>
      <c r="H135" s="276"/>
      <c r="I135" s="276"/>
      <c r="J135" s="276"/>
      <c r="K135" s="276"/>
    </row>
    <row r="136" spans="2:11">
      <c r="B136" s="325"/>
      <c r="C136" s="276"/>
      <c r="D136" s="276"/>
      <c r="E136" s="276"/>
      <c r="F136" s="276"/>
      <c r="G136" s="276"/>
      <c r="H136" s="276"/>
      <c r="I136" s="276"/>
      <c r="J136" s="276"/>
      <c r="K136" s="276"/>
    </row>
    <row r="137" spans="2:11">
      <c r="B137" s="325"/>
      <c r="C137" s="276"/>
      <c r="D137" s="276"/>
      <c r="E137" s="276"/>
      <c r="F137" s="276"/>
      <c r="G137" s="276"/>
      <c r="H137" s="276"/>
      <c r="I137" s="276"/>
      <c r="J137" s="276"/>
      <c r="K137" s="276"/>
    </row>
    <row r="138" spans="2:11">
      <c r="B138" s="325"/>
      <c r="C138" s="276"/>
      <c r="D138" s="276"/>
      <c r="E138" s="276"/>
      <c r="F138" s="276"/>
      <c r="G138" s="276"/>
      <c r="H138" s="276"/>
      <c r="I138" s="276"/>
      <c r="J138" s="276"/>
      <c r="K138" s="276"/>
    </row>
    <row r="139" spans="2:11">
      <c r="B139" s="325"/>
      <c r="C139" s="276"/>
      <c r="D139" s="276"/>
      <c r="E139" s="276"/>
      <c r="F139" s="276"/>
      <c r="G139" s="276"/>
      <c r="H139" s="276"/>
      <c r="I139" s="276"/>
      <c r="J139" s="276"/>
      <c r="K139" s="276"/>
    </row>
    <row r="140" spans="2:11">
      <c r="B140" s="325"/>
      <c r="C140" s="276"/>
      <c r="D140" s="276"/>
      <c r="E140" s="276"/>
      <c r="F140" s="276"/>
      <c r="G140" s="276"/>
      <c r="H140" s="276"/>
      <c r="I140" s="276"/>
      <c r="J140" s="276"/>
      <c r="K140" s="276"/>
    </row>
    <row r="141" spans="2:11">
      <c r="B141" s="325"/>
      <c r="C141" s="276"/>
      <c r="D141" s="276"/>
      <c r="E141" s="276"/>
      <c r="F141" s="276"/>
      <c r="G141" s="276"/>
      <c r="H141" s="276"/>
      <c r="I141" s="276"/>
      <c r="J141" s="276"/>
      <c r="K141" s="276"/>
    </row>
    <row r="142" spans="2:11">
      <c r="B142" s="325"/>
      <c r="C142" s="276"/>
      <c r="D142" s="276"/>
      <c r="E142" s="276"/>
      <c r="F142" s="276"/>
      <c r="G142" s="276"/>
      <c r="H142" s="276"/>
      <c r="I142" s="276"/>
      <c r="J142" s="276"/>
      <c r="K142" s="276"/>
    </row>
    <row r="143" spans="2:11">
      <c r="B143" s="325"/>
      <c r="C143" s="276"/>
      <c r="D143" s="276"/>
      <c r="E143" s="276"/>
      <c r="F143" s="276"/>
      <c r="G143" s="276"/>
      <c r="H143" s="276"/>
      <c r="I143" s="276"/>
      <c r="J143" s="276"/>
      <c r="K143" s="276"/>
    </row>
    <row r="144" spans="2:11">
      <c r="B144" s="325"/>
      <c r="C144" s="276"/>
      <c r="D144" s="276"/>
      <c r="E144" s="276"/>
      <c r="F144" s="276"/>
      <c r="G144" s="276"/>
      <c r="H144" s="276"/>
      <c r="I144" s="276"/>
      <c r="J144" s="276"/>
      <c r="K144" s="276"/>
    </row>
    <row r="145" spans="2:11">
      <c r="B145" s="325"/>
      <c r="C145" s="276"/>
      <c r="D145" s="276"/>
      <c r="E145" s="276"/>
      <c r="F145" s="276"/>
      <c r="G145" s="276"/>
      <c r="H145" s="276"/>
      <c r="I145" s="276"/>
      <c r="J145" s="276"/>
      <c r="K145" s="276"/>
    </row>
    <row r="146" spans="2:11">
      <c r="B146" s="325"/>
      <c r="C146" s="276"/>
      <c r="D146" s="276"/>
      <c r="E146" s="276"/>
      <c r="F146" s="276"/>
      <c r="G146" s="276"/>
      <c r="H146" s="276"/>
      <c r="I146" s="276"/>
      <c r="J146" s="276"/>
      <c r="K146" s="276"/>
    </row>
    <row r="147" spans="2:11">
      <c r="B147" s="325"/>
      <c r="C147" s="276"/>
      <c r="D147" s="276"/>
      <c r="E147" s="276"/>
      <c r="F147" s="276"/>
      <c r="G147" s="276"/>
      <c r="H147" s="276"/>
      <c r="I147" s="276"/>
      <c r="J147" s="276"/>
      <c r="K147" s="276"/>
    </row>
    <row r="148" spans="2:11">
      <c r="B148" s="325"/>
      <c r="C148" s="276"/>
      <c r="D148" s="276"/>
      <c r="E148" s="276"/>
      <c r="F148" s="276"/>
      <c r="G148" s="276"/>
      <c r="H148" s="276"/>
      <c r="I148" s="276"/>
      <c r="J148" s="276"/>
      <c r="K148" s="276"/>
    </row>
    <row r="149" spans="2:11">
      <c r="B149" s="325"/>
      <c r="C149" s="276"/>
      <c r="D149" s="276"/>
      <c r="E149" s="276"/>
      <c r="F149" s="276"/>
      <c r="G149" s="276"/>
      <c r="H149" s="276"/>
      <c r="I149" s="276"/>
      <c r="J149" s="276"/>
      <c r="K149" s="276"/>
    </row>
    <row r="150" spans="2:11">
      <c r="B150" s="325"/>
      <c r="C150" s="276"/>
      <c r="D150" s="276"/>
      <c r="E150" s="276"/>
      <c r="F150" s="276"/>
      <c r="G150" s="276"/>
      <c r="H150" s="276"/>
      <c r="I150" s="276"/>
      <c r="J150" s="276"/>
      <c r="K150" s="276"/>
    </row>
    <row r="151" spans="2:11">
      <c r="B151" s="325"/>
      <c r="C151" s="276"/>
      <c r="D151" s="276"/>
      <c r="E151" s="276"/>
      <c r="F151" s="276"/>
      <c r="G151" s="276"/>
      <c r="H151" s="276"/>
      <c r="I151" s="276"/>
      <c r="J151" s="276"/>
      <c r="K151" s="276"/>
    </row>
    <row r="152" spans="2:11">
      <c r="B152" s="325"/>
      <c r="C152" s="276"/>
      <c r="D152" s="276"/>
      <c r="E152" s="276"/>
      <c r="F152" s="276"/>
      <c r="G152" s="276"/>
      <c r="H152" s="276"/>
      <c r="I152" s="276"/>
      <c r="J152" s="276"/>
      <c r="K152" s="276"/>
    </row>
    <row r="153" spans="2:11">
      <c r="B153" s="325"/>
      <c r="C153" s="276"/>
      <c r="D153" s="276"/>
      <c r="E153" s="276"/>
      <c r="F153" s="276"/>
      <c r="G153" s="276"/>
      <c r="H153" s="276"/>
      <c r="I153" s="276"/>
      <c r="J153" s="276"/>
      <c r="K153" s="276"/>
    </row>
    <row r="154" spans="2:11">
      <c r="B154" s="325"/>
      <c r="C154" s="276"/>
      <c r="D154" s="276"/>
      <c r="E154" s="276"/>
      <c r="F154" s="276"/>
      <c r="G154" s="276"/>
      <c r="H154" s="276"/>
      <c r="I154" s="276"/>
      <c r="J154" s="276"/>
      <c r="K154" s="276"/>
    </row>
    <row r="155" spans="2:11">
      <c r="B155" s="325"/>
      <c r="C155" s="276"/>
      <c r="D155" s="276"/>
      <c r="E155" s="276"/>
      <c r="F155" s="276"/>
      <c r="G155" s="276"/>
      <c r="H155" s="276"/>
      <c r="I155" s="276"/>
      <c r="J155" s="276"/>
      <c r="K155" s="276"/>
    </row>
    <row r="156" spans="2:11">
      <c r="B156" s="325"/>
      <c r="C156" s="276"/>
      <c r="D156" s="276"/>
      <c r="E156" s="276"/>
      <c r="F156" s="276"/>
      <c r="G156" s="276"/>
      <c r="H156" s="276"/>
      <c r="I156" s="276"/>
      <c r="J156" s="276"/>
      <c r="K156" s="276"/>
    </row>
    <row r="157" spans="2:11">
      <c r="B157" s="325"/>
      <c r="C157" s="276"/>
      <c r="D157" s="276"/>
      <c r="E157" s="276"/>
      <c r="F157" s="276"/>
      <c r="G157" s="276"/>
      <c r="H157" s="276"/>
      <c r="I157" s="276"/>
      <c r="J157" s="276"/>
      <c r="K157" s="276"/>
    </row>
    <row r="158" spans="2:11">
      <c r="B158" s="325"/>
      <c r="C158" s="276"/>
      <c r="D158" s="276"/>
      <c r="E158" s="276"/>
      <c r="F158" s="276"/>
      <c r="G158" s="276"/>
      <c r="H158" s="276"/>
      <c r="I158" s="276"/>
      <c r="J158" s="276"/>
      <c r="K158" s="276"/>
    </row>
    <row r="159" spans="2:11">
      <c r="B159" s="325"/>
      <c r="C159" s="276"/>
      <c r="D159" s="276"/>
      <c r="E159" s="276"/>
      <c r="F159" s="276"/>
      <c r="G159" s="276"/>
      <c r="H159" s="276"/>
      <c r="I159" s="276"/>
      <c r="J159" s="276"/>
      <c r="K159" s="276"/>
    </row>
    <row r="160" spans="2:11">
      <c r="B160" s="325"/>
      <c r="C160" s="276"/>
      <c r="D160" s="276"/>
      <c r="E160" s="276"/>
      <c r="F160" s="276"/>
      <c r="G160" s="276"/>
      <c r="H160" s="276"/>
      <c r="I160" s="276"/>
      <c r="J160" s="276"/>
      <c r="K160" s="276"/>
    </row>
    <row r="161" spans="2:11">
      <c r="B161" s="325"/>
      <c r="C161" s="276"/>
      <c r="D161" s="276"/>
      <c r="E161" s="276"/>
      <c r="F161" s="276"/>
      <c r="G161" s="276"/>
      <c r="H161" s="276"/>
      <c r="I161" s="276"/>
      <c r="J161" s="276"/>
      <c r="K161" s="276"/>
    </row>
    <row r="162" spans="2:11">
      <c r="B162" s="325"/>
      <c r="C162" s="276"/>
      <c r="D162" s="276"/>
      <c r="E162" s="276"/>
      <c r="F162" s="276"/>
      <c r="G162" s="276"/>
      <c r="H162" s="276"/>
      <c r="I162" s="276"/>
      <c r="J162" s="276"/>
      <c r="K162" s="276"/>
    </row>
    <row r="163" spans="2:11">
      <c r="B163" s="325"/>
      <c r="C163" s="276"/>
      <c r="D163" s="276"/>
      <c r="E163" s="276"/>
      <c r="F163" s="276"/>
      <c r="G163" s="276"/>
      <c r="H163" s="276"/>
      <c r="I163" s="276"/>
      <c r="J163" s="276"/>
      <c r="K163" s="276"/>
    </row>
    <row r="164" spans="2:11">
      <c r="B164" s="325"/>
      <c r="C164" s="276"/>
      <c r="D164" s="276"/>
      <c r="E164" s="276"/>
      <c r="F164" s="276"/>
      <c r="G164" s="276"/>
      <c r="H164" s="276"/>
      <c r="I164" s="276"/>
      <c r="J164" s="276"/>
      <c r="K164" s="276"/>
    </row>
    <row r="165" spans="2:11">
      <c r="B165" s="325"/>
      <c r="C165" s="276"/>
      <c r="D165" s="276"/>
      <c r="E165" s="276"/>
      <c r="F165" s="276"/>
      <c r="G165" s="276"/>
      <c r="H165" s="276"/>
      <c r="I165" s="276"/>
      <c r="J165" s="276"/>
      <c r="K165" s="276"/>
    </row>
    <row r="166" spans="2:11">
      <c r="B166" s="325"/>
      <c r="C166" s="276"/>
      <c r="D166" s="276"/>
      <c r="E166" s="276"/>
      <c r="F166" s="276"/>
      <c r="G166" s="276"/>
      <c r="H166" s="276"/>
      <c r="I166" s="276"/>
      <c r="J166" s="276"/>
      <c r="K166" s="276"/>
    </row>
    <row r="167" spans="2:11">
      <c r="B167" s="325"/>
      <c r="C167" s="276"/>
      <c r="D167" s="276"/>
      <c r="E167" s="276"/>
      <c r="F167" s="276"/>
      <c r="G167" s="276"/>
      <c r="H167" s="276"/>
      <c r="I167" s="276"/>
      <c r="J167" s="276"/>
      <c r="K167" s="276"/>
    </row>
    <row r="168" spans="2:11">
      <c r="B168" s="325"/>
      <c r="C168" s="276"/>
      <c r="D168" s="276"/>
      <c r="E168" s="276"/>
      <c r="F168" s="276"/>
      <c r="G168" s="276"/>
      <c r="H168" s="276"/>
      <c r="I168" s="276"/>
      <c r="J168" s="276"/>
      <c r="K168" s="276"/>
    </row>
    <row r="169" spans="2:11">
      <c r="B169" s="325"/>
      <c r="C169" s="276"/>
      <c r="D169" s="276"/>
      <c r="E169" s="276"/>
      <c r="F169" s="276"/>
      <c r="G169" s="276"/>
      <c r="H169" s="276"/>
      <c r="I169" s="276"/>
      <c r="J169" s="276"/>
      <c r="K169" s="276"/>
    </row>
    <row r="170" spans="2:11">
      <c r="B170" s="325"/>
      <c r="C170" s="276"/>
      <c r="D170" s="276"/>
      <c r="E170" s="276"/>
      <c r="F170" s="276"/>
      <c r="G170" s="276"/>
      <c r="H170" s="276"/>
      <c r="I170" s="276"/>
      <c r="J170" s="276"/>
      <c r="K170" s="276"/>
    </row>
    <row r="171" spans="2:11">
      <c r="B171" s="325"/>
      <c r="C171" s="276"/>
      <c r="D171" s="276"/>
      <c r="E171" s="276"/>
      <c r="F171" s="276"/>
      <c r="G171" s="276"/>
      <c r="H171" s="276"/>
      <c r="I171" s="276"/>
      <c r="J171" s="276"/>
      <c r="K171" s="276"/>
    </row>
    <row r="172" spans="2:11">
      <c r="B172" s="325"/>
      <c r="C172" s="276"/>
      <c r="D172" s="276"/>
      <c r="E172" s="276"/>
      <c r="F172" s="276"/>
      <c r="G172" s="276"/>
      <c r="H172" s="276"/>
      <c r="I172" s="276"/>
      <c r="J172" s="276"/>
      <c r="K172" s="276"/>
    </row>
    <row r="173" spans="2:11">
      <c r="B173" s="325"/>
      <c r="C173" s="276"/>
      <c r="D173" s="276"/>
      <c r="E173" s="276"/>
      <c r="F173" s="276"/>
      <c r="G173" s="276"/>
      <c r="H173" s="276"/>
      <c r="I173" s="276"/>
      <c r="J173" s="276"/>
      <c r="K173" s="276"/>
    </row>
    <row r="174" spans="2:11">
      <c r="B174" s="325"/>
      <c r="C174" s="276"/>
      <c r="D174" s="276"/>
      <c r="E174" s="276"/>
      <c r="F174" s="276"/>
      <c r="G174" s="276"/>
      <c r="H174" s="276"/>
      <c r="I174" s="276"/>
      <c r="J174" s="276"/>
      <c r="K174" s="276"/>
    </row>
    <row r="175" spans="2:11">
      <c r="B175" s="325"/>
      <c r="C175" s="276"/>
      <c r="D175" s="276"/>
      <c r="E175" s="276"/>
      <c r="F175" s="276"/>
      <c r="G175" s="276"/>
      <c r="H175" s="276"/>
      <c r="I175" s="276"/>
      <c r="J175" s="276"/>
      <c r="K175" s="276"/>
    </row>
    <row r="176" spans="2:11">
      <c r="B176" s="325"/>
      <c r="C176" s="276"/>
      <c r="D176" s="276"/>
      <c r="E176" s="276"/>
      <c r="F176" s="276"/>
      <c r="G176" s="276"/>
      <c r="H176" s="276"/>
      <c r="I176" s="276"/>
      <c r="J176" s="276"/>
      <c r="K176" s="276"/>
    </row>
    <row r="177" spans="2:11">
      <c r="B177" s="325"/>
      <c r="C177" s="276"/>
      <c r="D177" s="276"/>
      <c r="E177" s="276"/>
      <c r="F177" s="276"/>
      <c r="G177" s="276"/>
      <c r="H177" s="276"/>
      <c r="I177" s="276"/>
      <c r="J177" s="276"/>
      <c r="K177" s="276"/>
    </row>
    <row r="178" spans="2:11">
      <c r="B178" s="325"/>
      <c r="C178" s="276"/>
      <c r="D178" s="276"/>
      <c r="E178" s="276"/>
      <c r="F178" s="276"/>
      <c r="G178" s="276"/>
      <c r="H178" s="276"/>
      <c r="I178" s="276"/>
      <c r="J178" s="276"/>
      <c r="K178" s="276"/>
    </row>
    <row r="179" spans="2:11">
      <c r="B179" s="325"/>
      <c r="C179" s="276"/>
      <c r="D179" s="276"/>
      <c r="E179" s="276"/>
      <c r="F179" s="276"/>
      <c r="G179" s="276"/>
      <c r="H179" s="276"/>
      <c r="I179" s="276"/>
      <c r="J179" s="276"/>
      <c r="K179" s="276"/>
    </row>
    <row r="180" spans="2:11">
      <c r="B180" s="325"/>
      <c r="C180" s="276"/>
      <c r="D180" s="276"/>
      <c r="E180" s="276"/>
      <c r="F180" s="276"/>
      <c r="G180" s="276"/>
      <c r="H180" s="276"/>
      <c r="I180" s="276"/>
      <c r="J180" s="276"/>
      <c r="K180" s="276"/>
    </row>
    <row r="181" spans="2:11">
      <c r="B181" s="325"/>
      <c r="C181" s="276"/>
      <c r="D181" s="276"/>
      <c r="E181" s="276"/>
      <c r="F181" s="276"/>
      <c r="G181" s="276"/>
      <c r="H181" s="276"/>
      <c r="I181" s="276"/>
      <c r="J181" s="276"/>
      <c r="K181" s="276"/>
    </row>
    <row r="182" spans="2:11">
      <c r="B182" s="325"/>
      <c r="C182" s="276"/>
      <c r="D182" s="276"/>
      <c r="E182" s="276"/>
      <c r="F182" s="276"/>
      <c r="G182" s="276"/>
      <c r="H182" s="276"/>
      <c r="I182" s="276"/>
      <c r="J182" s="276"/>
      <c r="K182" s="276"/>
    </row>
    <row r="183" spans="2:11">
      <c r="B183" s="325"/>
      <c r="C183" s="276"/>
      <c r="D183" s="276"/>
      <c r="E183" s="276"/>
      <c r="F183" s="276"/>
      <c r="G183" s="276"/>
      <c r="H183" s="276"/>
      <c r="I183" s="276"/>
      <c r="J183" s="276"/>
      <c r="K183" s="276"/>
    </row>
    <row r="184" spans="2:11">
      <c r="B184" s="325"/>
      <c r="C184" s="276"/>
      <c r="D184" s="276"/>
      <c r="E184" s="276"/>
      <c r="F184" s="276"/>
      <c r="G184" s="276"/>
      <c r="H184" s="276"/>
      <c r="I184" s="276"/>
      <c r="J184" s="276"/>
      <c r="K184" s="276"/>
    </row>
    <row r="185" spans="2:11">
      <c r="B185" s="325"/>
      <c r="C185" s="276"/>
      <c r="D185" s="276"/>
      <c r="E185" s="276"/>
      <c r="F185" s="276"/>
      <c r="G185" s="276"/>
      <c r="H185" s="276"/>
      <c r="I185" s="276"/>
      <c r="J185" s="276"/>
      <c r="K185" s="276"/>
    </row>
    <row r="186" spans="2:11">
      <c r="B186" s="325"/>
      <c r="C186" s="276"/>
      <c r="D186" s="276"/>
      <c r="E186" s="276"/>
      <c r="F186" s="276"/>
      <c r="G186" s="276"/>
      <c r="H186" s="276"/>
      <c r="I186" s="276"/>
      <c r="J186" s="276"/>
      <c r="K186" s="276"/>
    </row>
    <row r="187" spans="2:11">
      <c r="B187" s="325"/>
      <c r="C187" s="276"/>
      <c r="D187" s="276"/>
      <c r="E187" s="276"/>
      <c r="F187" s="276"/>
      <c r="G187" s="276"/>
      <c r="H187" s="276"/>
      <c r="I187" s="276"/>
      <c r="J187" s="276"/>
      <c r="K187" s="276"/>
    </row>
    <row r="188" spans="2:11">
      <c r="B188" s="325"/>
      <c r="C188" s="276"/>
      <c r="D188" s="276"/>
      <c r="E188" s="276"/>
      <c r="F188" s="276"/>
      <c r="G188" s="276"/>
      <c r="H188" s="276"/>
      <c r="I188" s="276"/>
      <c r="J188" s="276"/>
      <c r="K188" s="276"/>
    </row>
    <row r="189" spans="2:11">
      <c r="B189" s="325"/>
      <c r="C189" s="276"/>
      <c r="D189" s="276"/>
      <c r="E189" s="276"/>
      <c r="F189" s="276"/>
      <c r="G189" s="276"/>
      <c r="H189" s="276"/>
      <c r="I189" s="276"/>
      <c r="J189" s="276"/>
      <c r="K189" s="276"/>
    </row>
    <row r="190" spans="2:11">
      <c r="B190" s="325"/>
      <c r="C190" s="276"/>
      <c r="D190" s="276"/>
      <c r="E190" s="276"/>
      <c r="F190" s="276"/>
      <c r="G190" s="276"/>
      <c r="H190" s="276"/>
      <c r="I190" s="276"/>
      <c r="J190" s="276"/>
      <c r="K190" s="276"/>
    </row>
    <row r="191" spans="2:11">
      <c r="B191" s="325"/>
      <c r="C191" s="276"/>
      <c r="D191" s="276"/>
      <c r="E191" s="276"/>
      <c r="F191" s="276"/>
      <c r="G191" s="276"/>
      <c r="H191" s="276"/>
      <c r="I191" s="276"/>
      <c r="J191" s="276"/>
      <c r="K191" s="276"/>
    </row>
    <row r="192" spans="2:11">
      <c r="B192" s="325"/>
      <c r="C192" s="276"/>
      <c r="D192" s="276"/>
      <c r="E192" s="276"/>
      <c r="F192" s="276"/>
      <c r="G192" s="276"/>
      <c r="H192" s="276"/>
      <c r="I192" s="276"/>
      <c r="J192" s="276"/>
      <c r="K192" s="276"/>
    </row>
    <row r="193" spans="2:11">
      <c r="B193" s="325"/>
      <c r="C193" s="276"/>
      <c r="D193" s="276"/>
      <c r="E193" s="276"/>
      <c r="F193" s="276"/>
      <c r="G193" s="276"/>
      <c r="H193" s="276"/>
      <c r="I193" s="276"/>
      <c r="J193" s="276"/>
      <c r="K193" s="276"/>
    </row>
    <row r="194" spans="2:11">
      <c r="B194" s="325"/>
      <c r="C194" s="276"/>
      <c r="D194" s="276"/>
      <c r="E194" s="276"/>
      <c r="F194" s="276"/>
      <c r="G194" s="276"/>
      <c r="H194" s="276"/>
      <c r="I194" s="276"/>
      <c r="J194" s="276"/>
      <c r="K194" s="276"/>
    </row>
    <row r="195" spans="2:11">
      <c r="B195" s="325"/>
      <c r="C195" s="276"/>
      <c r="D195" s="276"/>
      <c r="E195" s="276"/>
      <c r="F195" s="276"/>
      <c r="G195" s="276"/>
      <c r="H195" s="276"/>
      <c r="I195" s="276"/>
      <c r="J195" s="276"/>
      <c r="K195" s="276"/>
    </row>
    <row r="196" spans="2:11">
      <c r="B196" s="325"/>
      <c r="C196" s="276"/>
      <c r="D196" s="276"/>
      <c r="E196" s="276"/>
      <c r="F196" s="276"/>
      <c r="G196" s="276"/>
      <c r="H196" s="276"/>
      <c r="I196" s="276"/>
      <c r="J196" s="276"/>
      <c r="K196" s="276"/>
    </row>
    <row r="197" spans="2:11">
      <c r="B197" s="325"/>
      <c r="C197" s="276"/>
      <c r="D197" s="276"/>
      <c r="E197" s="276"/>
      <c r="F197" s="276"/>
      <c r="G197" s="276"/>
      <c r="H197" s="276"/>
      <c r="I197" s="276"/>
      <c r="J197" s="276"/>
      <c r="K197" s="276"/>
    </row>
    <row r="198" spans="2:11">
      <c r="B198" s="325"/>
      <c r="C198" s="276"/>
      <c r="D198" s="276"/>
      <c r="E198" s="276"/>
      <c r="F198" s="276"/>
      <c r="G198" s="276"/>
      <c r="H198" s="276"/>
      <c r="I198" s="276"/>
      <c r="J198" s="276"/>
      <c r="K198" s="276"/>
    </row>
    <row r="199" spans="2:11">
      <c r="B199" s="325"/>
      <c r="C199" s="276"/>
      <c r="D199" s="276"/>
      <c r="E199" s="276"/>
      <c r="F199" s="276"/>
      <c r="G199" s="276"/>
      <c r="H199" s="276"/>
      <c r="I199" s="276"/>
      <c r="J199" s="276"/>
      <c r="K199" s="276"/>
    </row>
    <row r="200" spans="2:11">
      <c r="B200" s="325"/>
      <c r="C200" s="276"/>
      <c r="D200" s="276"/>
      <c r="E200" s="276"/>
      <c r="F200" s="276"/>
      <c r="G200" s="276"/>
      <c r="H200" s="276"/>
      <c r="I200" s="276"/>
      <c r="J200" s="276"/>
      <c r="K200" s="276"/>
    </row>
    <row r="201" spans="2:11">
      <c r="B201" s="325"/>
      <c r="C201" s="276"/>
      <c r="D201" s="276"/>
      <c r="E201" s="276"/>
      <c r="F201" s="276"/>
      <c r="G201" s="276"/>
      <c r="H201" s="276"/>
      <c r="I201" s="276"/>
      <c r="J201" s="276"/>
      <c r="K201" s="276"/>
    </row>
    <row r="202" spans="2:11">
      <c r="B202" s="325"/>
      <c r="C202" s="276"/>
      <c r="D202" s="276"/>
      <c r="E202" s="276"/>
      <c r="F202" s="276"/>
      <c r="G202" s="276"/>
      <c r="H202" s="276"/>
      <c r="I202" s="276"/>
      <c r="J202" s="276"/>
      <c r="K202" s="276"/>
    </row>
    <row r="203" spans="2:11">
      <c r="B203" s="325"/>
      <c r="C203" s="276"/>
      <c r="D203" s="276"/>
      <c r="E203" s="276"/>
      <c r="F203" s="276"/>
      <c r="G203" s="276"/>
      <c r="H203" s="276"/>
      <c r="I203" s="276"/>
      <c r="J203" s="276"/>
      <c r="K203" s="276"/>
    </row>
    <row r="204" spans="2:11">
      <c r="B204" s="325"/>
      <c r="C204" s="276"/>
      <c r="D204" s="276"/>
      <c r="E204" s="276"/>
      <c r="F204" s="276"/>
      <c r="G204" s="276"/>
      <c r="H204" s="276"/>
      <c r="I204" s="276"/>
      <c r="J204" s="276"/>
      <c r="K204" s="276"/>
    </row>
    <row r="205" spans="2:11">
      <c r="B205" s="325"/>
      <c r="C205" s="276"/>
      <c r="D205" s="276"/>
      <c r="E205" s="276"/>
      <c r="F205" s="276"/>
      <c r="G205" s="276"/>
      <c r="H205" s="276"/>
      <c r="I205" s="276"/>
      <c r="J205" s="276"/>
      <c r="K205" s="276"/>
    </row>
    <row r="206" spans="2:11">
      <c r="B206" s="325"/>
      <c r="C206" s="276"/>
      <c r="D206" s="276"/>
      <c r="E206" s="276"/>
      <c r="F206" s="276"/>
      <c r="G206" s="276"/>
      <c r="H206" s="276"/>
      <c r="I206" s="276"/>
      <c r="J206" s="276"/>
      <c r="K206" s="276"/>
    </row>
    <row r="207" spans="2:11">
      <c r="B207" s="325"/>
      <c r="C207" s="276"/>
      <c r="D207" s="276"/>
      <c r="E207" s="276"/>
      <c r="F207" s="276"/>
      <c r="G207" s="276"/>
      <c r="H207" s="276"/>
      <c r="I207" s="276"/>
      <c r="J207" s="276"/>
      <c r="K207" s="276"/>
    </row>
    <row r="208" spans="2:11">
      <c r="B208" s="325"/>
      <c r="C208" s="276"/>
      <c r="D208" s="276"/>
      <c r="E208" s="276"/>
      <c r="F208" s="276"/>
      <c r="G208" s="276"/>
      <c r="H208" s="276"/>
      <c r="I208" s="276"/>
      <c r="J208" s="276"/>
      <c r="K208" s="276"/>
    </row>
    <row r="209" spans="2:11">
      <c r="B209" s="325"/>
      <c r="C209" s="276"/>
      <c r="D209" s="276"/>
      <c r="E209" s="276"/>
      <c r="F209" s="276"/>
      <c r="G209" s="276"/>
      <c r="H209" s="276"/>
      <c r="I209" s="276"/>
      <c r="J209" s="276"/>
      <c r="K209" s="276"/>
    </row>
    <row r="210" spans="2:11">
      <c r="B210" s="325"/>
      <c r="C210" s="276"/>
      <c r="D210" s="276"/>
      <c r="E210" s="276"/>
      <c r="F210" s="276"/>
      <c r="G210" s="276"/>
      <c r="H210" s="276"/>
      <c r="I210" s="276"/>
      <c r="J210" s="276"/>
      <c r="K210" s="276"/>
    </row>
    <row r="211" spans="2:11" ht="14.25" customHeight="1">
      <c r="B211" s="325"/>
      <c r="C211" s="276"/>
      <c r="D211" s="276"/>
      <c r="E211" s="276"/>
      <c r="F211" s="276"/>
      <c r="G211" s="276"/>
      <c r="H211" s="276"/>
      <c r="I211" s="276"/>
      <c r="J211" s="276"/>
      <c r="K211" s="276"/>
    </row>
    <row r="212" spans="2:11" ht="12.75" customHeight="1">
      <c r="B212" s="325"/>
      <c r="C212" s="276"/>
      <c r="D212" s="276"/>
      <c r="E212" s="276"/>
      <c r="F212" s="276"/>
      <c r="G212" s="276"/>
      <c r="H212" s="276"/>
      <c r="I212" s="276"/>
      <c r="J212" s="276"/>
      <c r="K212" s="276"/>
    </row>
    <row r="213" spans="2:11" ht="12.75" customHeight="1">
      <c r="B213" s="325"/>
      <c r="C213" s="276"/>
      <c r="D213" s="276"/>
      <c r="E213" s="276"/>
      <c r="F213" s="276"/>
      <c r="G213" s="276"/>
      <c r="H213" s="276"/>
      <c r="I213" s="276"/>
      <c r="J213" s="276"/>
      <c r="K213" s="276"/>
    </row>
    <row r="214" spans="2:11" ht="12.75" customHeight="1">
      <c r="B214" s="325"/>
      <c r="C214" s="276"/>
      <c r="D214" s="276"/>
      <c r="E214" s="276"/>
      <c r="F214" s="276"/>
      <c r="G214" s="276"/>
      <c r="H214" s="276"/>
      <c r="I214" s="276"/>
      <c r="J214" s="276"/>
      <c r="K214" s="276"/>
    </row>
    <row r="215" spans="2:11" ht="12.75" customHeight="1">
      <c r="B215" s="325"/>
      <c r="C215" s="276"/>
      <c r="D215" s="276"/>
      <c r="E215" s="276"/>
      <c r="F215" s="276"/>
      <c r="G215" s="276"/>
      <c r="H215" s="276"/>
      <c r="I215" s="276"/>
      <c r="J215" s="276"/>
      <c r="K215" s="276"/>
    </row>
    <row r="216" spans="2:11" ht="12.75" customHeight="1">
      <c r="B216" s="325"/>
      <c r="C216" s="276"/>
      <c r="D216" s="276"/>
      <c r="E216" s="276"/>
      <c r="F216" s="276"/>
      <c r="G216" s="276"/>
      <c r="H216" s="276"/>
      <c r="I216" s="276"/>
      <c r="J216" s="276"/>
      <c r="K216" s="276"/>
    </row>
    <row r="217" spans="2:11" ht="12.75" customHeight="1">
      <c r="B217" s="325"/>
      <c r="C217" s="276"/>
      <c r="D217" s="276"/>
      <c r="E217" s="276"/>
      <c r="F217" s="276"/>
      <c r="G217" s="276"/>
      <c r="H217" s="276"/>
      <c r="I217" s="276"/>
      <c r="J217" s="276"/>
      <c r="K217" s="276"/>
    </row>
    <row r="218" spans="2:11" ht="12.75" customHeight="1">
      <c r="B218" s="325"/>
      <c r="C218" s="276"/>
      <c r="D218" s="276"/>
      <c r="E218" s="276"/>
      <c r="F218" s="276"/>
      <c r="G218" s="276"/>
      <c r="H218" s="276"/>
      <c r="I218" s="276"/>
      <c r="J218" s="276"/>
      <c r="K218" s="276"/>
    </row>
    <row r="219" spans="2:11" ht="12.75" customHeight="1">
      <c r="B219" s="325"/>
      <c r="C219" s="276"/>
      <c r="D219" s="276"/>
      <c r="E219" s="276"/>
      <c r="F219" s="276"/>
      <c r="G219" s="276"/>
      <c r="H219" s="276"/>
      <c r="I219" s="276"/>
      <c r="J219" s="276"/>
      <c r="K219" s="276"/>
    </row>
    <row r="220" spans="2:11" ht="12.75" customHeight="1">
      <c r="B220" s="325"/>
      <c r="C220" s="276"/>
      <c r="D220" s="276"/>
      <c r="E220" s="276"/>
      <c r="F220" s="276"/>
      <c r="G220" s="276"/>
      <c r="H220" s="276"/>
      <c r="I220" s="276"/>
      <c r="J220" s="276"/>
      <c r="K220" s="276"/>
    </row>
    <row r="221" spans="2:11" ht="12.75" customHeight="1">
      <c r="B221" s="325"/>
      <c r="C221" s="276"/>
      <c r="D221" s="276"/>
      <c r="E221" s="276"/>
      <c r="F221" s="276"/>
      <c r="G221" s="276"/>
      <c r="H221" s="276"/>
      <c r="I221" s="276"/>
      <c r="J221" s="276"/>
      <c r="K221" s="276"/>
    </row>
    <row r="222" spans="2:11" ht="12.75" customHeight="1">
      <c r="B222" s="325"/>
      <c r="C222" s="276"/>
      <c r="D222" s="276"/>
      <c r="E222" s="276"/>
      <c r="F222" s="276"/>
      <c r="G222" s="276"/>
      <c r="H222" s="276"/>
      <c r="I222" s="276"/>
      <c r="J222" s="276"/>
      <c r="K222" s="276"/>
    </row>
    <row r="223" spans="2:11" ht="12.75" customHeight="1">
      <c r="B223" s="325"/>
      <c r="C223" s="276"/>
      <c r="D223" s="276"/>
      <c r="E223" s="276"/>
      <c r="F223" s="276"/>
      <c r="G223" s="276"/>
      <c r="H223" s="276"/>
      <c r="I223" s="276"/>
      <c r="J223" s="276"/>
      <c r="K223" s="276"/>
    </row>
    <row r="224" spans="2:11" ht="12.75" customHeight="1">
      <c r="B224" s="325"/>
      <c r="C224" s="276"/>
      <c r="D224" s="276"/>
      <c r="E224" s="276"/>
      <c r="F224" s="276"/>
      <c r="G224" s="276"/>
      <c r="H224" s="276"/>
      <c r="I224" s="276"/>
      <c r="J224" s="276"/>
      <c r="K224" s="276"/>
    </row>
    <row r="225" spans="2:11" ht="12.75" customHeight="1">
      <c r="B225" s="325"/>
      <c r="C225" s="276"/>
      <c r="D225" s="276"/>
      <c r="E225" s="276"/>
      <c r="F225" s="276"/>
      <c r="G225" s="276"/>
      <c r="H225" s="276"/>
      <c r="I225" s="276"/>
      <c r="J225" s="276"/>
      <c r="K225" s="276"/>
    </row>
    <row r="226" spans="2:11" ht="12.75" customHeight="1">
      <c r="B226" s="325"/>
      <c r="C226" s="276"/>
      <c r="D226" s="276"/>
      <c r="E226" s="276"/>
      <c r="F226" s="276"/>
      <c r="G226" s="276"/>
      <c r="H226" s="276"/>
      <c r="I226" s="276"/>
      <c r="J226" s="276"/>
      <c r="K226" s="276"/>
    </row>
    <row r="227" spans="2:11">
      <c r="B227" s="325"/>
      <c r="C227" s="276"/>
      <c r="D227" s="276"/>
      <c r="E227" s="276"/>
      <c r="F227" s="276"/>
      <c r="G227" s="276"/>
      <c r="H227" s="276"/>
      <c r="I227" s="276"/>
      <c r="J227" s="276"/>
      <c r="K227" s="276"/>
    </row>
    <row r="228" spans="2:11">
      <c r="B228" s="325"/>
      <c r="C228" s="276"/>
      <c r="D228" s="276"/>
      <c r="E228" s="276"/>
      <c r="F228" s="276"/>
      <c r="G228" s="276"/>
      <c r="H228" s="276"/>
      <c r="I228" s="276"/>
      <c r="J228" s="276"/>
      <c r="K228" s="276"/>
    </row>
    <row r="229" spans="2:11">
      <c r="B229" s="325"/>
      <c r="C229" s="276"/>
      <c r="D229" s="276"/>
      <c r="E229" s="276"/>
      <c r="F229" s="276"/>
      <c r="G229" s="276"/>
      <c r="H229" s="276"/>
      <c r="I229" s="276"/>
      <c r="J229" s="276"/>
      <c r="K229" s="276"/>
    </row>
    <row r="230" spans="2:11">
      <c r="B230" s="325"/>
      <c r="C230" s="276"/>
      <c r="D230" s="276"/>
      <c r="E230" s="276"/>
      <c r="F230" s="276"/>
      <c r="G230" s="276"/>
      <c r="H230" s="276"/>
      <c r="I230" s="276"/>
      <c r="J230" s="276"/>
      <c r="K230" s="276"/>
    </row>
    <row r="231" spans="2:11">
      <c r="B231" s="325"/>
      <c r="C231" s="276"/>
      <c r="D231" s="276"/>
      <c r="E231" s="276"/>
      <c r="F231" s="276"/>
      <c r="G231" s="276"/>
      <c r="H231" s="276"/>
      <c r="I231" s="276"/>
      <c r="J231" s="276"/>
      <c r="K231" s="276"/>
    </row>
    <row r="232" spans="2:11">
      <c r="B232" s="325"/>
      <c r="C232" s="276"/>
      <c r="D232" s="276"/>
      <c r="E232" s="276"/>
      <c r="F232" s="276"/>
      <c r="G232" s="276"/>
      <c r="H232" s="276"/>
      <c r="I232" s="276"/>
      <c r="J232" s="276"/>
      <c r="K232" s="276"/>
    </row>
    <row r="233" spans="2:11">
      <c r="B233" s="325"/>
      <c r="C233" s="276"/>
      <c r="D233" s="276"/>
      <c r="E233" s="276"/>
      <c r="F233" s="276"/>
      <c r="G233" s="276"/>
      <c r="H233" s="276"/>
      <c r="I233" s="276"/>
      <c r="J233" s="276"/>
      <c r="K233" s="276"/>
    </row>
    <row r="234" spans="2:11">
      <c r="B234" s="325"/>
      <c r="C234" s="276"/>
      <c r="D234" s="276"/>
      <c r="E234" s="276"/>
      <c r="F234" s="276"/>
      <c r="G234" s="276"/>
      <c r="H234" s="276"/>
      <c r="I234" s="276"/>
      <c r="J234" s="276"/>
      <c r="K234" s="276"/>
    </row>
    <row r="235" spans="2:11">
      <c r="B235" s="325"/>
      <c r="C235" s="276"/>
      <c r="D235" s="276"/>
      <c r="E235" s="276"/>
      <c r="F235" s="276"/>
      <c r="G235" s="276"/>
      <c r="H235" s="276"/>
      <c r="I235" s="276"/>
      <c r="J235" s="276"/>
      <c r="K235" s="276"/>
    </row>
    <row r="236" spans="2:11">
      <c r="B236" s="325"/>
      <c r="C236" s="276"/>
      <c r="D236" s="276"/>
      <c r="E236" s="276"/>
      <c r="F236" s="276"/>
      <c r="G236" s="276"/>
      <c r="H236" s="276"/>
      <c r="I236" s="276"/>
      <c r="J236" s="276"/>
      <c r="K236" s="276"/>
    </row>
    <row r="237" spans="2:11">
      <c r="B237" s="325"/>
      <c r="C237" s="276"/>
      <c r="D237" s="276"/>
      <c r="E237" s="276"/>
      <c r="F237" s="276"/>
      <c r="G237" s="276"/>
      <c r="H237" s="276"/>
      <c r="I237" s="276"/>
      <c r="J237" s="276"/>
      <c r="K237" s="276"/>
    </row>
    <row r="238" spans="2:11">
      <c r="B238" s="325"/>
      <c r="C238" s="276"/>
      <c r="D238" s="276"/>
      <c r="E238" s="276"/>
      <c r="F238" s="276"/>
      <c r="G238" s="276"/>
      <c r="H238" s="276"/>
      <c r="I238" s="276"/>
      <c r="J238" s="276"/>
      <c r="K238" s="276"/>
    </row>
    <row r="239" spans="2:11">
      <c r="B239" s="325"/>
      <c r="C239" s="276"/>
      <c r="D239" s="276"/>
      <c r="E239" s="276"/>
      <c r="F239" s="276"/>
      <c r="G239" s="276"/>
      <c r="H239" s="276"/>
      <c r="I239" s="276"/>
      <c r="J239" s="276"/>
      <c r="K239" s="276"/>
    </row>
    <row r="240" spans="2:11">
      <c r="B240" s="325"/>
      <c r="C240" s="276"/>
      <c r="D240" s="276"/>
      <c r="E240" s="276"/>
      <c r="F240" s="276"/>
      <c r="G240" s="276"/>
      <c r="H240" s="276"/>
      <c r="I240" s="276"/>
      <c r="J240" s="276"/>
      <c r="K240" s="276"/>
    </row>
    <row r="241" spans="2:11">
      <c r="B241" s="325"/>
      <c r="C241" s="276"/>
      <c r="D241" s="276"/>
      <c r="E241" s="276"/>
      <c r="F241" s="276"/>
      <c r="G241" s="276"/>
      <c r="H241" s="276"/>
      <c r="I241" s="276"/>
      <c r="J241" s="276"/>
      <c r="K241" s="276"/>
    </row>
    <row r="242" spans="2:11">
      <c r="B242" s="325"/>
      <c r="C242" s="276"/>
      <c r="D242" s="276"/>
      <c r="E242" s="276"/>
      <c r="F242" s="276"/>
      <c r="G242" s="276"/>
      <c r="H242" s="276"/>
      <c r="I242" s="276"/>
      <c r="J242" s="276"/>
      <c r="K242" s="276"/>
    </row>
    <row r="243" spans="2:11">
      <c r="B243" s="325"/>
      <c r="C243" s="276"/>
      <c r="D243" s="276"/>
      <c r="E243" s="276"/>
      <c r="F243" s="276"/>
      <c r="G243" s="276"/>
      <c r="H243" s="276"/>
      <c r="I243" s="276"/>
      <c r="J243" s="276"/>
      <c r="K243" s="276"/>
    </row>
    <row r="244" spans="2:11">
      <c r="B244" s="325"/>
      <c r="C244" s="276"/>
      <c r="D244" s="276"/>
      <c r="E244" s="276"/>
      <c r="F244" s="276"/>
      <c r="G244" s="276"/>
      <c r="H244" s="276"/>
      <c r="I244" s="276"/>
      <c r="J244" s="276"/>
      <c r="K244" s="276"/>
    </row>
  </sheetData>
  <mergeCells count="5">
    <mergeCell ref="A2:J2"/>
    <mergeCell ref="A3:J3"/>
    <mergeCell ref="A4:J4"/>
    <mergeCell ref="A5:J5"/>
    <mergeCell ref="G54:G57"/>
  </mergeCells>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147"/>
  <sheetViews>
    <sheetView zoomScale="81" zoomScaleNormal="81" zoomScaleSheetLayoutView="100" zoomScalePageLayoutView="80" workbookViewId="0">
      <selection activeCell="J25" sqref="J25"/>
    </sheetView>
  </sheetViews>
  <sheetFormatPr defaultColWidth="8.7109375" defaultRowHeight="12.75"/>
  <cols>
    <col min="1" max="2" width="1.7109375" style="276" customWidth="1"/>
    <col min="3" max="3" width="11.5703125" style="276" customWidth="1"/>
    <col min="4" max="4" width="1.7109375" style="1471" customWidth="1"/>
    <col min="5" max="5" width="11" style="276" customWidth="1"/>
    <col min="6" max="6" width="1.5703125" style="276" customWidth="1"/>
    <col min="7" max="7" width="54.7109375" style="276" customWidth="1"/>
    <col min="8" max="8" width="17.28515625" style="1350" bestFit="1" customWidth="1"/>
    <col min="9" max="9" width="12.42578125" style="276" customWidth="1"/>
    <col min="10" max="10" width="13.7109375" style="276" customWidth="1"/>
    <col min="11" max="11" width="14.7109375" style="276" customWidth="1"/>
    <col min="12" max="12" width="14.42578125" style="276" customWidth="1"/>
    <col min="13" max="14" width="13.7109375" style="276" customWidth="1"/>
    <col min="15" max="15" width="13" style="276" bestFit="1" customWidth="1"/>
    <col min="16" max="16384" width="8.7109375" style="276"/>
  </cols>
  <sheetData>
    <row r="1" spans="1:24" ht="15">
      <c r="A1" s="547"/>
    </row>
    <row r="2" spans="1:24" ht="20.25">
      <c r="A2" s="550"/>
      <c r="B2" s="551"/>
      <c r="D2" s="276"/>
      <c r="I2" s="1450"/>
      <c r="J2" s="1450"/>
      <c r="K2" s="1450"/>
      <c r="L2" s="1450"/>
      <c r="M2" s="1450"/>
      <c r="N2" s="504"/>
    </row>
    <row r="3" spans="1:24" ht="20.25" customHeight="1">
      <c r="A3" s="504"/>
      <c r="B3" s="503"/>
      <c r="C3" s="2200" t="str">
        <f>+'SWT TCOS'!F4</f>
        <v xml:space="preserve">AEP West SPP Member Transmission Companies </v>
      </c>
      <c r="D3" s="2200"/>
      <c r="E3" s="2200"/>
      <c r="F3" s="2200"/>
      <c r="G3" s="2200"/>
      <c r="H3" s="2200"/>
      <c r="I3" s="2200"/>
      <c r="J3" s="2200"/>
      <c r="K3" s="2200"/>
      <c r="L3" s="2200"/>
      <c r="M3" s="2200"/>
      <c r="N3" s="2200"/>
    </row>
    <row r="4" spans="1:24" ht="20.25" customHeight="1">
      <c r="C4" s="2305" t="str">
        <f>+'SWT TCOS'!F8</f>
        <v>AEP SOUTHWESTERN TRANSMISSION COMPANY</v>
      </c>
      <c r="D4" s="2305"/>
      <c r="E4" s="2305"/>
      <c r="F4" s="2305"/>
      <c r="G4" s="2305"/>
      <c r="H4" s="2305"/>
      <c r="I4" s="2305"/>
      <c r="J4" s="2305"/>
      <c r="K4" s="2305"/>
      <c r="L4" s="2305"/>
      <c r="M4" s="2305"/>
      <c r="N4" s="2305"/>
    </row>
    <row r="5" spans="1:24" ht="22.5" customHeight="1">
      <c r="C5" s="2305" t="s">
        <v>625</v>
      </c>
      <c r="D5" s="2305"/>
      <c r="E5" s="2305"/>
      <c r="F5" s="2305"/>
      <c r="G5" s="2305"/>
      <c r="H5" s="2305"/>
      <c r="I5" s="2305"/>
      <c r="J5" s="2305"/>
      <c r="K5" s="2305"/>
      <c r="L5" s="2305"/>
      <c r="M5" s="2305"/>
      <c r="N5" s="2305"/>
    </row>
    <row r="6" spans="1:24" ht="18" customHeight="1">
      <c r="C6" s="2203" t="str">
        <f>"AS OF DECEMBER 31, "&amp;'SWT TCOS'!N2</f>
        <v>AS OF DECEMBER 31, 2022</v>
      </c>
      <c r="D6" s="2203"/>
      <c r="E6" s="2203"/>
      <c r="F6" s="2203"/>
      <c r="G6" s="2203"/>
      <c r="H6" s="2203"/>
      <c r="I6" s="2203"/>
      <c r="J6" s="2203"/>
      <c r="K6" s="2203"/>
      <c r="L6" s="2203"/>
      <c r="M6" s="2203"/>
      <c r="N6" s="2203"/>
    </row>
    <row r="7" spans="1:24">
      <c r="D7" s="276"/>
    </row>
    <row r="8" spans="1:24">
      <c r="D8" s="276"/>
      <c r="J8" s="2202" t="s">
        <v>149</v>
      </c>
      <c r="K8" s="2202"/>
      <c r="L8" s="2202"/>
      <c r="M8" s="2202"/>
      <c r="N8" s="2202"/>
    </row>
    <row r="9" spans="1:24" ht="25.5">
      <c r="C9" s="552" t="s">
        <v>387</v>
      </c>
      <c r="D9" s="553"/>
      <c r="E9" s="552" t="s">
        <v>150</v>
      </c>
      <c r="G9" s="552" t="s">
        <v>303</v>
      </c>
      <c r="H9" s="554" t="s">
        <v>313</v>
      </c>
      <c r="I9" s="555" t="s">
        <v>84</v>
      </c>
      <c r="J9" s="555" t="s">
        <v>151</v>
      </c>
      <c r="K9" s="555" t="s">
        <v>152</v>
      </c>
      <c r="L9" s="552" t="s">
        <v>153</v>
      </c>
      <c r="M9" s="552" t="s">
        <v>154</v>
      </c>
      <c r="N9" s="552" t="s">
        <v>297</v>
      </c>
    </row>
    <row r="11" spans="1:24" ht="12" customHeight="1">
      <c r="C11" s="2068">
        <v>2821001</v>
      </c>
      <c r="D11" s="2073" t="s">
        <v>334</v>
      </c>
      <c r="E11" s="2069" t="s">
        <v>1289</v>
      </c>
      <c r="F11" s="131"/>
      <c r="G11" s="557" t="s">
        <v>1290</v>
      </c>
      <c r="H11" s="1473">
        <v>-195.3</v>
      </c>
      <c r="I11" s="1474" t="s">
        <v>55</v>
      </c>
      <c r="J11" s="1475" t="str">
        <f t="shared" ref="J11" si="0">IF(I11="e",H11," ")</f>
        <v xml:space="preserve"> </v>
      </c>
      <c r="K11" s="1458">
        <f t="shared" ref="K11:K16" si="1">IF($I11="T",$H11," ")</f>
        <v>-195.3</v>
      </c>
      <c r="L11" s="1458" t="str">
        <f t="shared" ref="L11:L16" si="2">IF($I11="PTD",$H11," ")</f>
        <v xml:space="preserve"> </v>
      </c>
      <c r="M11" s="1475" t="str">
        <f t="shared" ref="M11:M16" si="3">IF($I11="T&amp;D",$H11," ")</f>
        <v xml:space="preserve"> </v>
      </c>
      <c r="N11" s="1475" t="str">
        <f t="shared" ref="N11" si="4">IF(I11="Labor",H11," ")</f>
        <v xml:space="preserve"> </v>
      </c>
      <c r="P11" s="131"/>
      <c r="Q11" s="131"/>
      <c r="R11" s="131"/>
      <c r="S11" s="131"/>
      <c r="T11" s="131"/>
      <c r="U11" s="131"/>
      <c r="V11" s="131"/>
      <c r="W11" s="131"/>
      <c r="X11" s="131"/>
    </row>
    <row r="12" spans="1:24">
      <c r="C12" s="2068">
        <v>2821001</v>
      </c>
      <c r="D12" s="2073" t="s">
        <v>334</v>
      </c>
      <c r="E12" s="2069" t="s">
        <v>1293</v>
      </c>
      <c r="F12" s="131"/>
      <c r="G12" s="557" t="s">
        <v>1294</v>
      </c>
      <c r="H12" s="1473">
        <v>-0.21</v>
      </c>
      <c r="I12" s="1474" t="s">
        <v>55</v>
      </c>
      <c r="J12" s="1475" t="str">
        <f t="shared" ref="J12" si="5">IF(I12="e",H12," ")</f>
        <v xml:space="preserve"> </v>
      </c>
      <c r="K12" s="1458">
        <f t="shared" si="1"/>
        <v>-0.21</v>
      </c>
      <c r="L12" s="1458" t="str">
        <f t="shared" si="2"/>
        <v xml:space="preserve"> </v>
      </c>
      <c r="M12" s="1475" t="str">
        <f t="shared" si="3"/>
        <v xml:space="preserve"> </v>
      </c>
      <c r="N12" s="1475" t="str">
        <f t="shared" ref="N12" si="6">IF(I12="Labor",H12," ")</f>
        <v xml:space="preserve"> </v>
      </c>
      <c r="P12" s="131"/>
      <c r="Q12" s="131"/>
      <c r="R12" s="131"/>
      <c r="S12" s="131"/>
      <c r="T12" s="131"/>
      <c r="U12" s="131"/>
      <c r="V12" s="131"/>
      <c r="W12" s="131"/>
      <c r="X12" s="131"/>
    </row>
    <row r="13" spans="1:24">
      <c r="C13" s="2068">
        <v>2821001</v>
      </c>
      <c r="D13" s="2074"/>
      <c r="E13" s="2069" t="s">
        <v>1307</v>
      </c>
      <c r="F13" s="131"/>
      <c r="G13" s="557" t="s">
        <v>1308</v>
      </c>
      <c r="H13" s="1473">
        <v>195.51</v>
      </c>
      <c r="I13" s="560" t="s">
        <v>55</v>
      </c>
      <c r="J13" s="1475" t="str">
        <f t="shared" ref="J13:J16" si="7">IF(I13="e",H13," ")</f>
        <v xml:space="preserve"> </v>
      </c>
      <c r="K13" s="1458">
        <f t="shared" si="1"/>
        <v>195.51</v>
      </c>
      <c r="L13" s="1458" t="str">
        <f t="shared" si="2"/>
        <v xml:space="preserve"> </v>
      </c>
      <c r="M13" s="1475" t="str">
        <f t="shared" si="3"/>
        <v xml:space="preserve"> </v>
      </c>
      <c r="N13" s="1475" t="str">
        <f t="shared" ref="N13:N16" si="8">IF(I13="Labor",H13," ")</f>
        <v xml:space="preserve"> </v>
      </c>
      <c r="O13" s="562"/>
    </row>
    <row r="14" spans="1:24">
      <c r="C14" s="2068">
        <v>2821001</v>
      </c>
      <c r="D14" s="2074"/>
      <c r="E14" s="2069" t="s">
        <v>1317</v>
      </c>
      <c r="F14" s="131"/>
      <c r="G14" s="557" t="s">
        <v>1318</v>
      </c>
      <c r="H14" s="1473">
        <v>0</v>
      </c>
      <c r="I14" s="560" t="s">
        <v>813</v>
      </c>
      <c r="J14" s="559">
        <f>+'SWT WS C-4 Excess FIT'!E47</f>
        <v>0</v>
      </c>
      <c r="K14" s="559">
        <f>+'SWT WS C-4 Excess FIT'!E46</f>
        <v>0</v>
      </c>
      <c r="L14" s="1458"/>
      <c r="M14" s="1475"/>
      <c r="N14" s="1475"/>
      <c r="O14" s="562"/>
    </row>
    <row r="15" spans="1:24">
      <c r="C15" s="2068">
        <v>2821001</v>
      </c>
      <c r="D15" s="2074"/>
      <c r="E15" s="2069" t="s">
        <v>1317</v>
      </c>
      <c r="F15" s="131"/>
      <c r="G15" s="557" t="s">
        <v>1319</v>
      </c>
      <c r="H15" s="1473">
        <v>0</v>
      </c>
      <c r="I15" s="560" t="s">
        <v>813</v>
      </c>
      <c r="J15" s="559">
        <f>+'SWT WS C-4 Excess FIT'!F30</f>
        <v>0</v>
      </c>
      <c r="K15" s="559">
        <f>+'SWT WS C-4 Excess FIT'!F29</f>
        <v>0</v>
      </c>
      <c r="L15" s="1458"/>
      <c r="M15" s="1475"/>
      <c r="N15" s="1475"/>
      <c r="O15" s="562"/>
    </row>
    <row r="16" spans="1:24">
      <c r="C16" s="1477"/>
      <c r="D16" s="1478"/>
      <c r="E16" s="1477"/>
      <c r="G16" s="567"/>
      <c r="H16" s="569"/>
      <c r="I16" s="570"/>
      <c r="J16" s="1475" t="str">
        <f t="shared" si="7"/>
        <v xml:space="preserve"> </v>
      </c>
      <c r="K16" s="1458" t="str">
        <f t="shared" si="1"/>
        <v xml:space="preserve"> </v>
      </c>
      <c r="L16" s="1458" t="str">
        <f t="shared" si="2"/>
        <v xml:space="preserve"> </v>
      </c>
      <c r="M16" s="1475" t="str">
        <f t="shared" si="3"/>
        <v xml:space="preserve"> </v>
      </c>
      <c r="N16" s="1475" t="str">
        <f t="shared" si="8"/>
        <v xml:space="preserve"> </v>
      </c>
      <c r="O16" s="562"/>
    </row>
    <row r="17" spans="3:18">
      <c r="C17" s="553">
        <v>282.10000000000002</v>
      </c>
      <c r="D17" s="276"/>
      <c r="G17" s="572" t="s">
        <v>156</v>
      </c>
      <c r="H17" s="573">
        <f>SUM(H11:H16)</f>
        <v>-2.8421709430404007E-14</v>
      </c>
      <c r="I17" s="1458"/>
      <c r="J17" s="573">
        <f>SUM(J11:J16)</f>
        <v>0</v>
      </c>
      <c r="K17" s="573">
        <f>SUM(K11:K16)</f>
        <v>-2.8421709430404007E-14</v>
      </c>
      <c r="L17" s="573">
        <f>SUM(L11:L16)</f>
        <v>0</v>
      </c>
      <c r="M17" s="573">
        <f>SUM(M11:M16)</f>
        <v>0</v>
      </c>
      <c r="N17" s="573">
        <f>SUM(N11:N16)</f>
        <v>0</v>
      </c>
      <c r="O17" s="562"/>
      <c r="P17" s="1458">
        <f>SUM(J17:O17)</f>
        <v>-2.8421709430404007E-14</v>
      </c>
      <c r="Q17" s="523">
        <f>P17-H17</f>
        <v>0</v>
      </c>
    </row>
    <row r="18" spans="3:18" ht="25.5">
      <c r="G18" s="1479" t="s">
        <v>166</v>
      </c>
      <c r="H18" s="1921">
        <v>0</v>
      </c>
      <c r="I18"/>
      <c r="J18" s="1480"/>
      <c r="K18" s="1458"/>
      <c r="L18" s="1458"/>
      <c r="M18" s="1458"/>
      <c r="N18" s="1458"/>
    </row>
    <row r="19" spans="3:18">
      <c r="H19" s="1481"/>
      <c r="I19" s="1458"/>
      <c r="J19" s="1458"/>
      <c r="K19" s="1458"/>
      <c r="L19" s="1458"/>
      <c r="M19" s="1458"/>
      <c r="N19" s="1458"/>
    </row>
    <row r="20" spans="3:18">
      <c r="H20" s="1481"/>
      <c r="I20" s="1458"/>
      <c r="J20" s="1458"/>
      <c r="K20" s="1458"/>
      <c r="L20" s="1458"/>
      <c r="M20" s="1458"/>
      <c r="N20" s="1458"/>
    </row>
    <row r="21" spans="3:18">
      <c r="C21" s="2068">
        <v>2831001</v>
      </c>
      <c r="D21" s="2071"/>
      <c r="E21" s="2069" t="s">
        <v>1345</v>
      </c>
      <c r="F21" s="558"/>
      <c r="G21" s="557" t="s">
        <v>1346</v>
      </c>
      <c r="H21" s="559">
        <v>0</v>
      </c>
      <c r="I21" s="560" t="s">
        <v>288</v>
      </c>
      <c r="J21" s="1475">
        <f t="shared" ref="J21" si="9">IF(I21="e",H21," ")</f>
        <v>0</v>
      </c>
      <c r="K21" s="1458" t="str">
        <f t="shared" ref="K21:K26" si="10">IF($I21="T",$H21," ")</f>
        <v xml:space="preserve"> </v>
      </c>
      <c r="L21" s="1458" t="str">
        <f t="shared" ref="L21:L33" si="11">IF($I21="PTD",$H21," ")</f>
        <v xml:space="preserve"> </v>
      </c>
      <c r="M21" s="1475" t="str">
        <f t="shared" ref="M21:M33" si="12">IF($I21="T&amp;D",$H21," ")</f>
        <v xml:space="preserve"> </v>
      </c>
      <c r="N21" s="1475" t="str">
        <f t="shared" ref="N21" si="13">IF(I21="Labor",H21," ")</f>
        <v xml:space="preserve"> </v>
      </c>
    </row>
    <row r="22" spans="3:18">
      <c r="C22" s="2068">
        <v>2831001</v>
      </c>
      <c r="D22" s="2071"/>
      <c r="E22" s="2069" t="s">
        <v>1320</v>
      </c>
      <c r="F22" s="558"/>
      <c r="G22" s="557" t="s">
        <v>1321</v>
      </c>
      <c r="H22" s="559">
        <v>0.01</v>
      </c>
      <c r="I22" s="560" t="s">
        <v>288</v>
      </c>
      <c r="J22" s="1475">
        <f t="shared" ref="J22:J26" si="14">IF(I22="e",H22," ")</f>
        <v>0.01</v>
      </c>
      <c r="K22" s="1458" t="str">
        <f t="shared" si="10"/>
        <v xml:space="preserve"> </v>
      </c>
      <c r="L22" s="1458" t="str">
        <f t="shared" si="11"/>
        <v xml:space="preserve"> </v>
      </c>
      <c r="M22" s="1475" t="str">
        <f t="shared" si="12"/>
        <v xml:space="preserve"> </v>
      </c>
      <c r="N22" s="1475" t="str">
        <f t="shared" ref="N22:N26" si="15">IF(I22="Labor",H22," ")</f>
        <v xml:space="preserve"> </v>
      </c>
    </row>
    <row r="23" spans="3:18">
      <c r="C23" s="2068">
        <v>2831001</v>
      </c>
      <c r="D23" s="2071"/>
      <c r="E23" s="2069" t="s">
        <v>1347</v>
      </c>
      <c r="F23" s="558"/>
      <c r="G23" s="557" t="s">
        <v>1348</v>
      </c>
      <c r="H23" s="559">
        <v>-24025.47</v>
      </c>
      <c r="I23" s="560" t="s">
        <v>288</v>
      </c>
      <c r="J23" s="1475">
        <f t="shared" si="14"/>
        <v>-24025.47</v>
      </c>
      <c r="K23" s="1458" t="str">
        <f t="shared" si="10"/>
        <v xml:space="preserve"> </v>
      </c>
      <c r="L23" s="1458" t="str">
        <f t="shared" si="11"/>
        <v xml:space="preserve"> </v>
      </c>
      <c r="M23" s="1475" t="str">
        <f t="shared" si="12"/>
        <v xml:space="preserve"> </v>
      </c>
      <c r="N23" s="1475" t="str">
        <f t="shared" si="15"/>
        <v xml:space="preserve"> </v>
      </c>
    </row>
    <row r="24" spans="3:18">
      <c r="C24" s="2068">
        <v>2831001</v>
      </c>
      <c r="D24" s="2071"/>
      <c r="E24" s="2069" t="s">
        <v>1349</v>
      </c>
      <c r="F24" s="558"/>
      <c r="G24" s="557" t="s">
        <v>1350</v>
      </c>
      <c r="H24" s="559">
        <v>25427.39</v>
      </c>
      <c r="I24" s="560" t="s">
        <v>288</v>
      </c>
      <c r="J24" s="1475">
        <f t="shared" si="14"/>
        <v>25427.39</v>
      </c>
      <c r="K24" s="1458" t="str">
        <f t="shared" si="10"/>
        <v xml:space="preserve"> </v>
      </c>
      <c r="L24" s="1458" t="str">
        <f t="shared" si="11"/>
        <v xml:space="preserve"> </v>
      </c>
      <c r="M24" s="1475" t="str">
        <f t="shared" si="12"/>
        <v xml:space="preserve"> </v>
      </c>
      <c r="N24" s="1475" t="str">
        <f t="shared" si="15"/>
        <v xml:space="preserve"> </v>
      </c>
    </row>
    <row r="25" spans="3:18">
      <c r="C25" s="2068">
        <v>2831001</v>
      </c>
      <c r="D25" s="2071"/>
      <c r="E25" s="2069" t="s">
        <v>1252</v>
      </c>
      <c r="F25" s="558"/>
      <c r="G25" s="557" t="s">
        <v>1253</v>
      </c>
      <c r="H25" s="559">
        <v>-2571.66</v>
      </c>
      <c r="I25" s="560" t="s">
        <v>288</v>
      </c>
      <c r="J25" s="1475">
        <f t="shared" ref="J25" si="16">IF(I25="e",H25," ")</f>
        <v>-2571.66</v>
      </c>
      <c r="K25" s="1458" t="str">
        <f t="shared" si="10"/>
        <v xml:space="preserve"> </v>
      </c>
      <c r="L25" s="1458" t="str">
        <f t="shared" si="11"/>
        <v xml:space="preserve"> </v>
      </c>
      <c r="M25" s="1475" t="str">
        <f t="shared" si="12"/>
        <v xml:space="preserve"> </v>
      </c>
      <c r="N25" s="1475" t="str">
        <f t="shared" ref="N25" si="17">IF(I25="Labor",H25," ")</f>
        <v xml:space="preserve"> </v>
      </c>
    </row>
    <row r="26" spans="3:18">
      <c r="C26" s="2068">
        <v>2831001</v>
      </c>
      <c r="D26" s="2071"/>
      <c r="E26" s="2069" t="s">
        <v>1326</v>
      </c>
      <c r="F26" s="558"/>
      <c r="G26" s="557" t="s">
        <v>1351</v>
      </c>
      <c r="H26" s="559">
        <v>-96.39</v>
      </c>
      <c r="I26" s="560" t="s">
        <v>288</v>
      </c>
      <c r="J26" s="1475">
        <f t="shared" si="14"/>
        <v>-96.39</v>
      </c>
      <c r="K26" s="1458" t="str">
        <f t="shared" si="10"/>
        <v xml:space="preserve"> </v>
      </c>
      <c r="L26" s="1458" t="str">
        <f t="shared" si="11"/>
        <v xml:space="preserve"> </v>
      </c>
      <c r="M26" s="1475" t="str">
        <f t="shared" si="12"/>
        <v xml:space="preserve"> </v>
      </c>
      <c r="N26" s="1475" t="str">
        <f t="shared" si="15"/>
        <v xml:space="preserve"> </v>
      </c>
    </row>
    <row r="27" spans="3:18">
      <c r="C27" s="2070">
        <v>2831001</v>
      </c>
      <c r="D27" s="157"/>
      <c r="E27" s="2069" t="s">
        <v>1317</v>
      </c>
      <c r="F27" s="558"/>
      <c r="G27" s="557" t="s">
        <v>1328</v>
      </c>
      <c r="H27" s="559">
        <v>-15010.24</v>
      </c>
      <c r="I27" s="560" t="s">
        <v>813</v>
      </c>
      <c r="J27" s="559">
        <f>+'SWT WS C-4 Excess FIT'!G30</f>
        <v>-15010.24</v>
      </c>
      <c r="K27" s="559">
        <f>+'SWT WS C-4 Excess FIT'!G29</f>
        <v>0</v>
      </c>
      <c r="L27" s="1458" t="str">
        <f t="shared" si="11"/>
        <v xml:space="preserve"> </v>
      </c>
      <c r="M27" s="1475" t="str">
        <f t="shared" si="12"/>
        <v xml:space="preserve"> </v>
      </c>
      <c r="N27" s="1475" t="str">
        <f t="shared" ref="N27:N29" si="18">IF(I27="Labor",H27," ")</f>
        <v xml:space="preserve"> </v>
      </c>
    </row>
    <row r="28" spans="3:18">
      <c r="C28" s="2068">
        <v>2831001</v>
      </c>
      <c r="D28" s="157"/>
      <c r="E28" s="2069" t="s">
        <v>1317</v>
      </c>
      <c r="F28" s="131"/>
      <c r="G28" s="557" t="s">
        <v>1189</v>
      </c>
      <c r="H28" s="559">
        <v>223221.38</v>
      </c>
      <c r="I28" s="560" t="s">
        <v>55</v>
      </c>
      <c r="J28" s="559">
        <f>H28-K28</f>
        <v>0</v>
      </c>
      <c r="K28" s="559">
        <v>223221.38</v>
      </c>
      <c r="L28" s="1458" t="str">
        <f t="shared" si="11"/>
        <v xml:space="preserve"> </v>
      </c>
      <c r="M28" s="1475" t="str">
        <f t="shared" si="12"/>
        <v xml:space="preserve"> </v>
      </c>
      <c r="N28" s="1475" t="str">
        <f t="shared" si="18"/>
        <v xml:space="preserve"> </v>
      </c>
      <c r="O28"/>
      <c r="P28"/>
      <c r="Q28"/>
      <c r="R28"/>
    </row>
    <row r="29" spans="3:18">
      <c r="C29" s="2070">
        <v>2831001</v>
      </c>
      <c r="D29" s="157"/>
      <c r="E29" s="2069" t="s">
        <v>1317</v>
      </c>
      <c r="F29" s="131"/>
      <c r="G29" s="557" t="s">
        <v>1189</v>
      </c>
      <c r="H29" s="559">
        <f>-H28</f>
        <v>-223221.38</v>
      </c>
      <c r="I29" s="560" t="s">
        <v>288</v>
      </c>
      <c r="J29" s="1475">
        <f t="shared" ref="J29" si="19">IF(I29="e",H29," ")</f>
        <v>-223221.38</v>
      </c>
      <c r="K29" s="1458" t="str">
        <f t="shared" ref="K29" si="20">IF($I29="T",$H29," ")</f>
        <v xml:space="preserve"> </v>
      </c>
      <c r="L29" s="1458" t="str">
        <f t="shared" si="11"/>
        <v xml:space="preserve"> </v>
      </c>
      <c r="M29" s="1475" t="str">
        <f t="shared" si="12"/>
        <v xml:space="preserve"> </v>
      </c>
      <c r="N29" s="1475" t="str">
        <f t="shared" si="18"/>
        <v xml:space="preserve"> </v>
      </c>
      <c r="O29"/>
      <c r="P29"/>
      <c r="Q29"/>
      <c r="R29"/>
    </row>
    <row r="30" spans="3:18">
      <c r="C30" s="2070"/>
      <c r="D30" s="157"/>
      <c r="E30" s="2069"/>
      <c r="F30" s="131"/>
      <c r="G30" s="557"/>
      <c r="H30" s="559"/>
      <c r="I30" s="560"/>
      <c r="J30" s="580"/>
      <c r="K30" s="580"/>
      <c r="L30" s="1458"/>
      <c r="M30" s="1475"/>
      <c r="N30" s="1475"/>
    </row>
    <row r="31" spans="3:18">
      <c r="C31" s="2075"/>
      <c r="D31" s="2076"/>
      <c r="E31" s="2077"/>
      <c r="F31" s="137"/>
      <c r="G31" s="558"/>
      <c r="H31" s="580"/>
      <c r="I31" s="586"/>
      <c r="J31" s="580"/>
      <c r="K31" s="580"/>
      <c r="L31" s="1458"/>
      <c r="M31" s="1475"/>
      <c r="N31" s="1475"/>
    </row>
    <row r="32" spans="3:18">
      <c r="C32" s="2070">
        <v>2831002</v>
      </c>
      <c r="D32" s="2071"/>
      <c r="E32" s="2069" t="s">
        <v>1329</v>
      </c>
      <c r="F32" s="558"/>
      <c r="G32" s="557" t="s">
        <v>1330</v>
      </c>
      <c r="H32" s="559">
        <v>2148.04</v>
      </c>
      <c r="I32" s="560" t="s">
        <v>55</v>
      </c>
      <c r="J32" s="1475" t="str">
        <f t="shared" ref="J32" si="21">IF(I32="e",H32," ")</f>
        <v xml:space="preserve"> </v>
      </c>
      <c r="K32" s="1458">
        <f t="shared" ref="K32:K33" si="22">IF($I32="T",$H32," ")</f>
        <v>2148.04</v>
      </c>
      <c r="L32" s="1458" t="str">
        <f t="shared" si="11"/>
        <v xml:space="preserve"> </v>
      </c>
      <c r="M32" s="1475" t="str">
        <f t="shared" si="12"/>
        <v xml:space="preserve"> </v>
      </c>
      <c r="N32" s="1475" t="str">
        <f t="shared" ref="N32" si="23">IF(I32="Labor",H32," ")</f>
        <v xml:space="preserve"> </v>
      </c>
    </row>
    <row r="33" spans="3:17">
      <c r="C33" s="2070">
        <v>2831002</v>
      </c>
      <c r="D33" s="2071"/>
      <c r="E33" s="2069" t="s">
        <v>1326</v>
      </c>
      <c r="F33" s="558"/>
      <c r="G33" s="557" t="s">
        <v>1351</v>
      </c>
      <c r="H33" s="559">
        <v>459</v>
      </c>
      <c r="I33" s="560" t="s">
        <v>288</v>
      </c>
      <c r="J33" s="1475">
        <f t="shared" ref="J33" si="24">IF(I33="e",H33," ")</f>
        <v>459</v>
      </c>
      <c r="K33" s="1458" t="str">
        <f t="shared" si="22"/>
        <v xml:space="preserve"> </v>
      </c>
      <c r="L33" s="1458" t="str">
        <f t="shared" si="11"/>
        <v xml:space="preserve"> </v>
      </c>
      <c r="M33" s="1475" t="str">
        <f t="shared" si="12"/>
        <v xml:space="preserve"> </v>
      </c>
      <c r="N33" s="1475" t="str">
        <f t="shared" ref="N33" si="25">IF(I33="Labor",H33," ")</f>
        <v xml:space="preserve"> </v>
      </c>
    </row>
    <row r="34" spans="3:17">
      <c r="C34" s="578"/>
      <c r="D34" s="1482"/>
      <c r="E34" s="577"/>
      <c r="F34" s="558"/>
      <c r="G34" s="557"/>
      <c r="H34" s="559"/>
      <c r="I34" s="559"/>
      <c r="J34" s="1475"/>
      <c r="K34" s="1458"/>
      <c r="L34" s="1458"/>
      <c r="M34" s="1475"/>
      <c r="N34" s="1475"/>
    </row>
    <row r="35" spans="3:17">
      <c r="D35" s="276"/>
      <c r="H35" s="1458"/>
      <c r="I35" s="1458"/>
      <c r="J35" s="1481" t="str">
        <f>IF(I35="e",H35," ")</f>
        <v xml:space="preserve"> </v>
      </c>
      <c r="K35" s="1481"/>
      <c r="L35" s="1481" t="str">
        <f>IF($I35="PTD",$H35," ")</f>
        <v xml:space="preserve"> </v>
      </c>
      <c r="M35" s="1481" t="str">
        <f>IF($I35="T&amp;D",$H35," ")</f>
        <v xml:space="preserve"> </v>
      </c>
      <c r="N35" s="1481" t="str">
        <f>IF(I35="Labor",H35," ")</f>
        <v xml:space="preserve"> </v>
      </c>
    </row>
    <row r="36" spans="3:17">
      <c r="C36" s="553">
        <v>283.10000000000002</v>
      </c>
      <c r="D36" s="276"/>
      <c r="G36" s="572" t="s">
        <v>156</v>
      </c>
      <c r="H36" s="582">
        <f>SUM(H21:H35)</f>
        <v>-13669.320000000014</v>
      </c>
      <c r="I36" s="1458"/>
      <c r="J36" s="582">
        <f>SUM(J21:J35)</f>
        <v>-239038.74000000002</v>
      </c>
      <c r="K36" s="582">
        <f>SUM(K21:K35)</f>
        <v>225369.42</v>
      </c>
      <c r="L36" s="582">
        <f>SUM(L21:L35)</f>
        <v>0</v>
      </c>
      <c r="M36" s="582">
        <f>SUM(M21:M35)</f>
        <v>0</v>
      </c>
      <c r="N36" s="582">
        <f>SUM(N21:N35)</f>
        <v>0</v>
      </c>
      <c r="O36" s="562"/>
      <c r="P36" s="1458">
        <f>SUM(J36:O36)</f>
        <v>-13669.320000000007</v>
      </c>
      <c r="Q36" s="523">
        <f>P36-H36</f>
        <v>0</v>
      </c>
    </row>
    <row r="37" spans="3:17" ht="25.5" customHeight="1">
      <c r="C37" s="583"/>
      <c r="D37" s="276"/>
      <c r="G37" s="1479" t="s">
        <v>110</v>
      </c>
      <c r="H37" s="1921">
        <v>-13669.32</v>
      </c>
      <c r="I37"/>
      <c r="J37" s="1480"/>
      <c r="K37" s="584"/>
      <c r="L37" s="584"/>
      <c r="M37" s="584"/>
      <c r="N37" s="584"/>
    </row>
    <row r="38" spans="3:17">
      <c r="G38" s="1484"/>
      <c r="H38" s="1485"/>
      <c r="I38" s="1458"/>
      <c r="J38" s="1458"/>
      <c r="K38" s="1458"/>
      <c r="L38" s="1458"/>
      <c r="M38" s="1458"/>
      <c r="N38" s="1458"/>
    </row>
    <row r="39" spans="3:17">
      <c r="H39" s="1481"/>
      <c r="I39" s="1458"/>
      <c r="J39" s="1458"/>
      <c r="K39" s="1458"/>
      <c r="L39" s="1458"/>
      <c r="M39" s="1458"/>
      <c r="N39" s="1458"/>
    </row>
    <row r="40" spans="3:17">
      <c r="C40" s="2068">
        <v>1901001</v>
      </c>
      <c r="D40" s="2072"/>
      <c r="E40" s="2069" t="s">
        <v>1335</v>
      </c>
      <c r="F40" s="558"/>
      <c r="G40" s="557" t="s">
        <v>1336</v>
      </c>
      <c r="H40" s="559">
        <v>8624.4</v>
      </c>
      <c r="I40" s="560" t="s">
        <v>288</v>
      </c>
      <c r="J40" s="1475">
        <f t="shared" ref="J40:J52" si="26">IF(I40="e",H40," ")</f>
        <v>8624.4</v>
      </c>
      <c r="K40" s="1458" t="str">
        <f t="shared" ref="K40:K52" si="27">IF($I40="T",$H40," ")</f>
        <v xml:space="preserve"> </v>
      </c>
      <c r="L40" s="1458" t="str">
        <f t="shared" ref="L40:L52" si="28">IF($I40="PTD",$H40," ")</f>
        <v xml:space="preserve"> </v>
      </c>
      <c r="M40" s="1475" t="str">
        <f t="shared" ref="M40:M52" si="29">IF($I40="T&amp;D",$H40," ")</f>
        <v xml:space="preserve"> </v>
      </c>
      <c r="N40" s="1475" t="str">
        <f t="shared" ref="N40:N52" si="30">IF(I40="Labor",H40," ")</f>
        <v xml:space="preserve"> </v>
      </c>
    </row>
    <row r="41" spans="3:17">
      <c r="C41" s="2068">
        <v>1901001</v>
      </c>
      <c r="D41" s="2072"/>
      <c r="E41" s="2069" t="s">
        <v>1341</v>
      </c>
      <c r="F41" s="558"/>
      <c r="G41" s="557" t="s">
        <v>1342</v>
      </c>
      <c r="H41" s="559">
        <v>-0.11</v>
      </c>
      <c r="I41" s="560" t="s">
        <v>288</v>
      </c>
      <c r="J41" s="1475">
        <f>IF(I41="e",H41," ")</f>
        <v>-0.11</v>
      </c>
      <c r="K41" s="1458" t="str">
        <f t="shared" si="27"/>
        <v xml:space="preserve"> </v>
      </c>
      <c r="L41" s="1458" t="str">
        <f t="shared" si="28"/>
        <v xml:space="preserve"> </v>
      </c>
      <c r="M41" s="1475" t="str">
        <f t="shared" si="29"/>
        <v xml:space="preserve"> </v>
      </c>
      <c r="N41" s="1475" t="str">
        <f>IF(I41="Labor",H41," ")</f>
        <v xml:space="preserve"> </v>
      </c>
    </row>
    <row r="42" spans="3:17">
      <c r="C42" s="2068">
        <v>1901001</v>
      </c>
      <c r="D42" s="2072"/>
      <c r="E42" s="2069" t="s">
        <v>1352</v>
      </c>
      <c r="F42" s="558"/>
      <c r="G42" s="557" t="s">
        <v>1353</v>
      </c>
      <c r="H42" s="559">
        <v>0.21</v>
      </c>
      <c r="I42" s="560" t="s">
        <v>288</v>
      </c>
      <c r="J42" s="1475">
        <f t="shared" si="26"/>
        <v>0.21</v>
      </c>
      <c r="K42" s="1458"/>
      <c r="L42" s="1458"/>
      <c r="M42" s="1475"/>
      <c r="N42" s="1475"/>
    </row>
    <row r="43" spans="3:17">
      <c r="C43" s="2068">
        <v>1901001</v>
      </c>
      <c r="D43" s="2072"/>
      <c r="E43" s="2069" t="s">
        <v>1329</v>
      </c>
      <c r="F43" s="558"/>
      <c r="G43" s="557" t="s">
        <v>1330</v>
      </c>
      <c r="H43" s="559">
        <v>-451.09</v>
      </c>
      <c r="I43" s="560" t="s">
        <v>55</v>
      </c>
      <c r="J43" s="1475" t="str">
        <f t="shared" si="26"/>
        <v xml:space="preserve"> </v>
      </c>
      <c r="K43" s="1458">
        <f t="shared" si="27"/>
        <v>-451.09</v>
      </c>
      <c r="L43" s="1458" t="str">
        <f t="shared" si="28"/>
        <v xml:space="preserve"> </v>
      </c>
      <c r="M43" s="1475" t="str">
        <f t="shared" si="29"/>
        <v xml:space="preserve"> </v>
      </c>
      <c r="N43" s="1475" t="str">
        <f t="shared" si="30"/>
        <v xml:space="preserve"> </v>
      </c>
    </row>
    <row r="44" spans="3:17">
      <c r="C44" s="2068">
        <v>1901001</v>
      </c>
      <c r="D44" s="2072"/>
      <c r="E44" s="2069" t="s">
        <v>1354</v>
      </c>
      <c r="F44" s="558"/>
      <c r="G44" s="557" t="s">
        <v>1355</v>
      </c>
      <c r="H44" s="559">
        <v>0.13</v>
      </c>
      <c r="I44" s="560" t="s">
        <v>1190</v>
      </c>
      <c r="J44" s="559">
        <f>H44-K44</f>
        <v>0.13</v>
      </c>
      <c r="K44" s="559">
        <v>0</v>
      </c>
      <c r="L44" s="1458"/>
      <c r="M44" s="1475"/>
      <c r="N44" s="1475"/>
    </row>
    <row r="45" spans="3:17">
      <c r="C45" s="2068">
        <v>1901001</v>
      </c>
      <c r="D45" s="2072"/>
      <c r="E45" s="2069" t="s">
        <v>1354</v>
      </c>
      <c r="F45" s="558"/>
      <c r="G45" s="557" t="s">
        <v>1189</v>
      </c>
      <c r="H45" s="559">
        <v>387299.22210000001</v>
      </c>
      <c r="I45" s="560" t="s">
        <v>55</v>
      </c>
      <c r="J45" s="559">
        <f>H45-K45</f>
        <v>0</v>
      </c>
      <c r="K45" s="559">
        <v>387299.22210000001</v>
      </c>
      <c r="L45" s="1458" t="str">
        <f t="shared" si="28"/>
        <v xml:space="preserve"> </v>
      </c>
      <c r="M45" s="1475" t="str">
        <f t="shared" si="29"/>
        <v xml:space="preserve"> </v>
      </c>
      <c r="N45" s="1475" t="str">
        <f t="shared" ref="N45:N46" si="31">IF(I45="Labor",H45," ")</f>
        <v xml:space="preserve"> </v>
      </c>
      <c r="O45"/>
      <c r="P45"/>
      <c r="Q45"/>
    </row>
    <row r="46" spans="3:17">
      <c r="C46" s="2068">
        <v>1901001</v>
      </c>
      <c r="D46" s="2072"/>
      <c r="E46" s="2069" t="s">
        <v>1354</v>
      </c>
      <c r="F46" s="558"/>
      <c r="G46" s="557" t="s">
        <v>1189</v>
      </c>
      <c r="H46" s="559">
        <f>-H45</f>
        <v>-387299.22210000001</v>
      </c>
      <c r="I46" s="560" t="s">
        <v>288</v>
      </c>
      <c r="J46" s="1475">
        <f t="shared" ref="J46" si="32">IF(I46="e",H46," ")</f>
        <v>-387299.22210000001</v>
      </c>
      <c r="K46" s="1458" t="str">
        <f t="shared" si="27"/>
        <v xml:space="preserve"> </v>
      </c>
      <c r="L46" s="1458" t="str">
        <f t="shared" si="28"/>
        <v xml:space="preserve"> </v>
      </c>
      <c r="M46" s="1475" t="str">
        <f t="shared" si="29"/>
        <v xml:space="preserve"> </v>
      </c>
      <c r="N46" s="1475" t="str">
        <f t="shared" si="31"/>
        <v xml:space="preserve"> </v>
      </c>
      <c r="O46"/>
      <c r="P46"/>
      <c r="Q46"/>
    </row>
    <row r="47" spans="3:17">
      <c r="C47" s="2070"/>
      <c r="D47" s="2072"/>
      <c r="E47" s="2069"/>
      <c r="F47" s="558"/>
      <c r="G47" s="557"/>
      <c r="H47" s="559"/>
      <c r="I47" s="560"/>
      <c r="J47" s="1475"/>
      <c r="K47" s="1458"/>
      <c r="L47" s="1458"/>
      <c r="M47" s="1475"/>
      <c r="N47" s="1475"/>
    </row>
    <row r="48" spans="3:17">
      <c r="C48" s="2075"/>
      <c r="D48" s="2072"/>
      <c r="E48" s="2077"/>
      <c r="F48" s="558"/>
      <c r="G48" s="558"/>
      <c r="H48" s="580"/>
      <c r="I48" s="586"/>
      <c r="J48" s="1475" t="str">
        <f t="shared" si="26"/>
        <v xml:space="preserve"> </v>
      </c>
      <c r="K48" s="1458" t="str">
        <f t="shared" si="27"/>
        <v xml:space="preserve"> </v>
      </c>
      <c r="L48" s="1458" t="str">
        <f t="shared" si="28"/>
        <v xml:space="preserve"> </v>
      </c>
      <c r="M48" s="1475" t="str">
        <f t="shared" si="29"/>
        <v xml:space="preserve"> </v>
      </c>
      <c r="N48" s="1475" t="str">
        <f t="shared" si="30"/>
        <v xml:space="preserve"> </v>
      </c>
    </row>
    <row r="49" spans="3:17">
      <c r="C49" s="2070">
        <v>1901002</v>
      </c>
      <c r="D49" s="2072"/>
      <c r="E49" s="2069" t="s">
        <v>1345</v>
      </c>
      <c r="F49" s="558"/>
      <c r="G49" s="557" t="s">
        <v>1346</v>
      </c>
      <c r="H49" s="559">
        <v>0</v>
      </c>
      <c r="I49" s="560" t="s">
        <v>288</v>
      </c>
      <c r="J49" s="1475">
        <f t="shared" si="26"/>
        <v>0</v>
      </c>
      <c r="K49" s="1458" t="str">
        <f t="shared" si="27"/>
        <v xml:space="preserve"> </v>
      </c>
      <c r="L49" s="1458" t="str">
        <f t="shared" si="28"/>
        <v xml:space="preserve"> </v>
      </c>
      <c r="M49" s="1475" t="str">
        <f t="shared" si="29"/>
        <v xml:space="preserve"> </v>
      </c>
      <c r="N49" s="1475" t="str">
        <f t="shared" si="30"/>
        <v xml:space="preserve"> </v>
      </c>
    </row>
    <row r="50" spans="3:17">
      <c r="C50" s="2070">
        <v>1901002</v>
      </c>
      <c r="D50" s="2072"/>
      <c r="E50" s="2069" t="s">
        <v>1347</v>
      </c>
      <c r="F50" s="558"/>
      <c r="G50" s="557" t="s">
        <v>1348</v>
      </c>
      <c r="H50" s="559">
        <v>114406.95</v>
      </c>
      <c r="I50" s="560" t="s">
        <v>288</v>
      </c>
      <c r="J50" s="1475">
        <f t="shared" si="26"/>
        <v>114406.95</v>
      </c>
      <c r="K50" s="1458" t="str">
        <f t="shared" si="27"/>
        <v xml:space="preserve"> </v>
      </c>
      <c r="L50" s="1458" t="str">
        <f t="shared" si="28"/>
        <v xml:space="preserve"> </v>
      </c>
      <c r="M50" s="1475" t="str">
        <f t="shared" si="29"/>
        <v xml:space="preserve"> </v>
      </c>
      <c r="N50" s="1475" t="str">
        <f t="shared" si="30"/>
        <v xml:space="preserve"> </v>
      </c>
    </row>
    <row r="51" spans="3:17">
      <c r="C51" s="2070">
        <v>1901002</v>
      </c>
      <c r="D51" s="2072"/>
      <c r="E51" s="2069" t="s">
        <v>1349</v>
      </c>
      <c r="F51" s="558"/>
      <c r="G51" s="557" t="s">
        <v>1350</v>
      </c>
      <c r="H51" s="559">
        <v>-121082.82</v>
      </c>
      <c r="I51" s="560" t="s">
        <v>288</v>
      </c>
      <c r="J51" s="1475">
        <f t="shared" si="26"/>
        <v>-121082.82</v>
      </c>
      <c r="K51" s="1458" t="str">
        <f t="shared" si="27"/>
        <v xml:space="preserve"> </v>
      </c>
      <c r="L51" s="1458" t="str">
        <f t="shared" si="28"/>
        <v xml:space="preserve"> </v>
      </c>
      <c r="M51" s="1475" t="str">
        <f t="shared" si="29"/>
        <v xml:space="preserve"> </v>
      </c>
      <c r="N51" s="1475" t="str">
        <f t="shared" si="30"/>
        <v xml:space="preserve"> </v>
      </c>
    </row>
    <row r="52" spans="3:17">
      <c r="C52" s="578"/>
      <c r="D52" s="1486"/>
      <c r="E52" s="577"/>
      <c r="F52" s="558"/>
      <c r="G52" s="557"/>
      <c r="H52" s="559"/>
      <c r="I52" s="560"/>
      <c r="J52" s="1475" t="str">
        <f t="shared" si="26"/>
        <v xml:space="preserve"> </v>
      </c>
      <c r="K52" s="1458" t="str">
        <f t="shared" si="27"/>
        <v xml:space="preserve"> </v>
      </c>
      <c r="L52" s="1458" t="str">
        <f t="shared" si="28"/>
        <v xml:space="preserve"> </v>
      </c>
      <c r="M52" s="1475" t="str">
        <f t="shared" si="29"/>
        <v xml:space="preserve"> </v>
      </c>
      <c r="N52" s="1475" t="str">
        <f t="shared" si="30"/>
        <v xml:space="preserve"> </v>
      </c>
    </row>
    <row r="53" spans="3:17">
      <c r="C53" s="1487"/>
      <c r="J53" s="1484"/>
    </row>
    <row r="54" spans="3:17">
      <c r="C54" s="553">
        <v>190.1</v>
      </c>
      <c r="D54" s="276"/>
      <c r="G54" s="572" t="s">
        <v>156</v>
      </c>
      <c r="H54" s="582">
        <f>SUM(H40:H53)</f>
        <v>1497.6699999999691</v>
      </c>
      <c r="I54" s="1458"/>
      <c r="J54" s="582">
        <f>SUM(J40:J53)</f>
        <v>-385350.4621</v>
      </c>
      <c r="K54" s="582">
        <f>SUM(K40:K53)</f>
        <v>386848.13209999999</v>
      </c>
      <c r="L54" s="582">
        <f>SUM(L40:L53)</f>
        <v>0</v>
      </c>
      <c r="M54" s="582">
        <f>SUM(M40:M53)</f>
        <v>0</v>
      </c>
      <c r="N54" s="582">
        <f>SUM(N40:N53)</f>
        <v>0</v>
      </c>
      <c r="O54" s="562"/>
      <c r="P54" s="1458">
        <f>SUM(J54:O54)</f>
        <v>1497.6699999999837</v>
      </c>
      <c r="Q54" s="523">
        <f>P54-H54</f>
        <v>1.4551915228366852E-11</v>
      </c>
    </row>
    <row r="55" spans="3:17">
      <c r="G55" s="1479" t="s">
        <v>126</v>
      </c>
      <c r="H55" s="1921">
        <v>1496.67</v>
      </c>
      <c r="I55"/>
      <c r="J55" s="1480"/>
    </row>
    <row r="56" spans="3:17">
      <c r="G56" s="1479"/>
      <c r="H56" s="1488"/>
    </row>
    <row r="57" spans="3:17" ht="33" customHeight="1">
      <c r="C57" s="2307"/>
      <c r="D57" s="2307"/>
      <c r="E57" s="2307"/>
      <c r="F57" s="2307"/>
      <c r="G57" s="2307"/>
      <c r="H57" s="2307"/>
      <c r="I57" s="2307"/>
      <c r="J57" s="2307"/>
      <c r="K57" s="2307"/>
      <c r="L57" s="2307"/>
      <c r="M57" s="2307"/>
      <c r="N57" s="2307"/>
    </row>
    <row r="70" spans="3:8">
      <c r="C70" s="270"/>
      <c r="D70" s="1489"/>
      <c r="E70" s="270"/>
      <c r="G70" s="270"/>
      <c r="H70" s="1382"/>
    </row>
    <row r="106" spans="3:6">
      <c r="C106" s="270"/>
      <c r="D106" s="270"/>
      <c r="E106" s="270"/>
      <c r="F106" s="1471"/>
    </row>
    <row r="107" spans="3:6">
      <c r="C107" s="270"/>
      <c r="D107" s="270"/>
      <c r="E107" s="270"/>
    </row>
    <row r="108" spans="3:6">
      <c r="C108" s="270"/>
      <c r="D108" s="270"/>
      <c r="E108" s="270"/>
    </row>
    <row r="109" spans="3:6">
      <c r="C109" s="270"/>
      <c r="D109" s="270"/>
      <c r="E109" s="270"/>
    </row>
    <row r="110" spans="3:6">
      <c r="C110" s="270"/>
      <c r="D110" s="270"/>
      <c r="E110" s="270"/>
    </row>
    <row r="111" spans="3:6">
      <c r="C111" s="270"/>
      <c r="D111" s="270"/>
      <c r="E111" s="270"/>
    </row>
    <row r="112" spans="3:6">
      <c r="C112" s="270"/>
      <c r="D112" s="270"/>
      <c r="E112" s="270"/>
    </row>
    <row r="113" spans="3:5">
      <c r="C113" s="270"/>
      <c r="D113" s="270"/>
      <c r="E113" s="270"/>
    </row>
    <row r="114" spans="3:5">
      <c r="C114" s="270"/>
      <c r="D114" s="270"/>
      <c r="E114" s="270"/>
    </row>
    <row r="115" spans="3:5">
      <c r="C115" s="270"/>
      <c r="D115" s="270"/>
      <c r="E115" s="270"/>
    </row>
    <row r="116" spans="3:5">
      <c r="C116" s="270"/>
      <c r="D116" s="270"/>
      <c r="E116" s="270"/>
    </row>
    <row r="117" spans="3:5">
      <c r="C117" s="270"/>
      <c r="D117" s="270"/>
      <c r="E117" s="270"/>
    </row>
    <row r="118" spans="3:5">
      <c r="C118" s="270"/>
      <c r="D118" s="270"/>
      <c r="E118" s="270"/>
    </row>
    <row r="119" spans="3:5">
      <c r="C119" s="270"/>
      <c r="D119" s="270"/>
      <c r="E119" s="270"/>
    </row>
    <row r="120" spans="3:5">
      <c r="C120" s="270"/>
      <c r="D120" s="270"/>
      <c r="E120" s="270"/>
    </row>
    <row r="121" spans="3:5">
      <c r="C121" s="270"/>
      <c r="D121" s="270"/>
      <c r="E121" s="270"/>
    </row>
    <row r="122" spans="3:5">
      <c r="C122" s="270"/>
      <c r="D122" s="270"/>
      <c r="E122" s="270"/>
    </row>
    <row r="123" spans="3:5">
      <c r="C123" s="270"/>
      <c r="D123" s="270"/>
      <c r="E123" s="270"/>
    </row>
    <row r="124" spans="3:5">
      <c r="C124" s="270"/>
      <c r="D124" s="270"/>
      <c r="E124" s="270"/>
    </row>
    <row r="125" spans="3:5">
      <c r="D125" s="276"/>
    </row>
    <row r="126" spans="3:5">
      <c r="D126" s="276"/>
    </row>
    <row r="127" spans="3:5">
      <c r="D127" s="276"/>
    </row>
    <row r="128" spans="3:5">
      <c r="D128" s="276"/>
    </row>
    <row r="129" spans="1:24">
      <c r="D129" s="276"/>
    </row>
    <row r="130" spans="1:24" s="1350" customFormat="1">
      <c r="A130" s="276"/>
      <c r="B130" s="276"/>
      <c r="C130" s="276"/>
      <c r="D130" s="276"/>
      <c r="E130" s="276"/>
      <c r="F130" s="276"/>
      <c r="G130" s="276"/>
      <c r="I130" s="276"/>
      <c r="J130" s="276"/>
      <c r="K130" s="276"/>
      <c r="L130" s="276"/>
      <c r="M130" s="276"/>
      <c r="N130" s="276"/>
      <c r="O130" s="276"/>
      <c r="P130" s="276"/>
      <c r="Q130" s="276"/>
      <c r="R130" s="276"/>
      <c r="S130" s="276"/>
      <c r="T130" s="276"/>
      <c r="U130" s="276"/>
      <c r="V130" s="276"/>
      <c r="W130" s="276"/>
      <c r="X130" s="276"/>
    </row>
    <row r="131" spans="1:24" s="1350" customFormat="1">
      <c r="A131" s="276"/>
      <c r="B131" s="276"/>
      <c r="C131" s="276"/>
      <c r="D131" s="276"/>
      <c r="E131" s="276"/>
      <c r="F131" s="276"/>
      <c r="G131" s="276"/>
      <c r="I131" s="276"/>
      <c r="J131" s="276"/>
      <c r="K131" s="276"/>
      <c r="L131" s="276"/>
      <c r="M131" s="276"/>
      <c r="N131" s="276"/>
      <c r="O131" s="276"/>
      <c r="P131" s="276"/>
      <c r="Q131" s="276"/>
      <c r="R131" s="276"/>
      <c r="S131" s="276"/>
      <c r="T131" s="276"/>
      <c r="U131" s="276"/>
      <c r="V131" s="276"/>
      <c r="W131" s="276"/>
      <c r="X131" s="276"/>
    </row>
    <row r="132" spans="1:24" s="1350" customFormat="1">
      <c r="A132" s="276"/>
      <c r="B132" s="276"/>
      <c r="C132" s="276"/>
      <c r="D132" s="276"/>
      <c r="E132" s="276"/>
      <c r="F132" s="276"/>
      <c r="G132" s="276"/>
      <c r="I132" s="276"/>
      <c r="J132" s="276"/>
      <c r="K132" s="276"/>
      <c r="L132" s="276"/>
      <c r="M132" s="276"/>
      <c r="N132" s="276"/>
      <c r="O132" s="276"/>
      <c r="P132" s="276"/>
      <c r="Q132" s="276"/>
      <c r="R132" s="276"/>
      <c r="S132" s="276"/>
      <c r="T132" s="276"/>
      <c r="U132" s="276"/>
      <c r="V132" s="276"/>
      <c r="W132" s="276"/>
      <c r="X132" s="276"/>
    </row>
    <row r="133" spans="1:24" s="1350" customFormat="1">
      <c r="A133" s="276"/>
      <c r="B133" s="276"/>
      <c r="C133" s="276"/>
      <c r="D133" s="276"/>
      <c r="E133" s="276"/>
      <c r="F133" s="276"/>
      <c r="G133" s="276"/>
      <c r="I133" s="276"/>
      <c r="J133" s="276"/>
      <c r="K133" s="276"/>
      <c r="L133" s="276"/>
      <c r="M133" s="276"/>
      <c r="N133" s="276"/>
      <c r="O133" s="276"/>
      <c r="P133" s="276"/>
      <c r="Q133" s="276"/>
      <c r="R133" s="276"/>
      <c r="S133" s="276"/>
      <c r="T133" s="276"/>
      <c r="U133" s="276"/>
      <c r="V133" s="276"/>
      <c r="W133" s="276"/>
      <c r="X133" s="276"/>
    </row>
    <row r="134" spans="1:24" s="1350" customFormat="1">
      <c r="A134" s="276"/>
      <c r="B134" s="276"/>
      <c r="C134" s="276"/>
      <c r="D134" s="276"/>
      <c r="E134" s="276"/>
      <c r="F134" s="276"/>
      <c r="G134" s="276"/>
      <c r="I134" s="276"/>
      <c r="J134" s="276"/>
      <c r="K134" s="276"/>
      <c r="L134" s="276"/>
      <c r="M134" s="276"/>
      <c r="N134" s="276"/>
      <c r="O134" s="276"/>
      <c r="P134" s="276"/>
      <c r="Q134" s="276"/>
      <c r="R134" s="276"/>
      <c r="S134" s="276"/>
      <c r="T134" s="276"/>
      <c r="U134" s="276"/>
      <c r="V134" s="276"/>
      <c r="W134" s="276"/>
      <c r="X134" s="276"/>
    </row>
    <row r="135" spans="1:24" s="1350" customFormat="1">
      <c r="A135" s="276"/>
      <c r="B135" s="276"/>
      <c r="C135" s="276"/>
      <c r="D135" s="276"/>
      <c r="E135" s="276"/>
      <c r="F135" s="276"/>
      <c r="G135" s="276"/>
      <c r="I135" s="276"/>
      <c r="J135" s="276"/>
      <c r="K135" s="276"/>
      <c r="L135" s="276"/>
      <c r="M135" s="276"/>
      <c r="N135" s="276"/>
      <c r="O135" s="276"/>
      <c r="P135" s="276"/>
      <c r="Q135" s="276"/>
      <c r="R135" s="276"/>
      <c r="S135" s="276"/>
      <c r="T135" s="276"/>
      <c r="U135" s="276"/>
      <c r="V135" s="276"/>
      <c r="W135" s="276"/>
      <c r="X135" s="276"/>
    </row>
    <row r="136" spans="1:24" s="1350" customFormat="1">
      <c r="A136" s="276"/>
      <c r="B136" s="276"/>
      <c r="C136" s="276"/>
      <c r="D136" s="276"/>
      <c r="E136" s="276"/>
      <c r="F136" s="276"/>
      <c r="G136" s="276"/>
      <c r="I136" s="276"/>
      <c r="J136" s="276"/>
      <c r="K136" s="276"/>
      <c r="L136" s="276"/>
      <c r="M136" s="276"/>
      <c r="N136" s="276"/>
      <c r="O136" s="276"/>
      <c r="P136" s="276"/>
      <c r="Q136" s="276"/>
      <c r="R136" s="276"/>
      <c r="S136" s="276"/>
      <c r="T136" s="276"/>
      <c r="U136" s="276"/>
      <c r="V136" s="276"/>
      <c r="W136" s="276"/>
      <c r="X136" s="276"/>
    </row>
    <row r="137" spans="1:24" s="1350" customFormat="1">
      <c r="A137" s="276"/>
      <c r="B137" s="276"/>
      <c r="C137" s="276"/>
      <c r="D137" s="276"/>
      <c r="E137" s="276"/>
      <c r="F137" s="276"/>
      <c r="G137" s="276"/>
      <c r="I137" s="276"/>
      <c r="J137" s="276"/>
      <c r="K137" s="276"/>
      <c r="L137" s="276"/>
      <c r="M137" s="276"/>
      <c r="N137" s="276"/>
      <c r="O137" s="276"/>
      <c r="P137" s="276"/>
      <c r="Q137" s="276"/>
      <c r="R137" s="276"/>
      <c r="S137" s="276"/>
      <c r="T137" s="276"/>
      <c r="U137" s="276"/>
      <c r="V137" s="276"/>
      <c r="W137" s="276"/>
      <c r="X137" s="276"/>
    </row>
    <row r="138" spans="1:24" s="1350" customFormat="1">
      <c r="A138" s="276"/>
      <c r="B138" s="276"/>
      <c r="C138" s="276"/>
      <c r="D138" s="276"/>
      <c r="E138" s="276"/>
      <c r="F138" s="276"/>
      <c r="G138" s="276"/>
      <c r="I138" s="276"/>
      <c r="J138" s="276"/>
      <c r="K138" s="276"/>
      <c r="L138" s="276"/>
      <c r="M138" s="276"/>
      <c r="N138" s="276"/>
      <c r="O138" s="276"/>
      <c r="P138" s="276"/>
      <c r="Q138" s="276"/>
      <c r="R138" s="276"/>
      <c r="S138" s="276"/>
      <c r="T138" s="276"/>
      <c r="U138" s="276"/>
      <c r="V138" s="276"/>
      <c r="W138" s="276"/>
      <c r="X138" s="276"/>
    </row>
    <row r="139" spans="1:24" s="1350" customFormat="1">
      <c r="A139" s="276"/>
      <c r="B139" s="276"/>
      <c r="C139" s="276"/>
      <c r="D139" s="276"/>
      <c r="E139" s="276"/>
      <c r="F139" s="276"/>
      <c r="G139" s="276"/>
      <c r="I139" s="276"/>
      <c r="J139" s="276"/>
      <c r="K139" s="276"/>
      <c r="L139" s="276"/>
      <c r="M139" s="276"/>
      <c r="N139" s="276"/>
      <c r="O139" s="276"/>
      <c r="P139" s="276"/>
      <c r="Q139" s="276"/>
      <c r="R139" s="276"/>
      <c r="S139" s="276"/>
      <c r="T139" s="276"/>
      <c r="U139" s="276"/>
      <c r="V139" s="276"/>
      <c r="W139" s="276"/>
      <c r="X139" s="276"/>
    </row>
    <row r="140" spans="1:24" s="1350" customFormat="1">
      <c r="A140" s="276"/>
      <c r="B140" s="276"/>
      <c r="C140" s="276"/>
      <c r="D140" s="276"/>
      <c r="E140" s="276"/>
      <c r="F140" s="276"/>
      <c r="G140" s="276"/>
      <c r="I140" s="276"/>
      <c r="J140" s="276"/>
      <c r="K140" s="276"/>
      <c r="L140" s="276"/>
      <c r="M140" s="276"/>
      <c r="N140" s="276"/>
      <c r="O140" s="276"/>
      <c r="P140" s="276"/>
      <c r="Q140" s="276"/>
      <c r="R140" s="276"/>
      <c r="S140" s="276"/>
      <c r="T140" s="276"/>
      <c r="U140" s="276"/>
      <c r="V140" s="276"/>
      <c r="W140" s="276"/>
      <c r="X140" s="276"/>
    </row>
    <row r="141" spans="1:24" s="1350" customFormat="1">
      <c r="A141" s="276"/>
      <c r="B141" s="276"/>
      <c r="C141" s="276"/>
      <c r="D141" s="276"/>
      <c r="E141" s="276"/>
      <c r="F141" s="276"/>
      <c r="G141" s="276"/>
      <c r="I141" s="276"/>
      <c r="J141" s="276"/>
      <c r="K141" s="276"/>
      <c r="L141" s="276"/>
      <c r="M141" s="276"/>
      <c r="N141" s="276"/>
      <c r="O141" s="276"/>
      <c r="P141" s="276"/>
      <c r="Q141" s="276"/>
      <c r="R141" s="276"/>
      <c r="S141" s="276"/>
      <c r="T141" s="276"/>
      <c r="U141" s="276"/>
      <c r="V141" s="276"/>
      <c r="W141" s="276"/>
      <c r="X141" s="276"/>
    </row>
    <row r="142" spans="1:24" s="1350" customFormat="1">
      <c r="A142" s="276"/>
      <c r="B142" s="276"/>
      <c r="C142" s="270"/>
      <c r="D142" s="1489"/>
      <c r="E142" s="270"/>
      <c r="F142" s="270"/>
      <c r="G142" s="270"/>
      <c r="I142" s="276"/>
      <c r="J142" s="276"/>
      <c r="K142" s="276"/>
      <c r="L142" s="276"/>
      <c r="M142" s="276"/>
      <c r="N142" s="276"/>
      <c r="O142" s="276"/>
      <c r="P142" s="276"/>
      <c r="Q142" s="276"/>
      <c r="R142" s="276"/>
      <c r="S142" s="276"/>
      <c r="T142" s="276"/>
      <c r="U142" s="276"/>
      <c r="V142" s="276"/>
      <c r="W142" s="276"/>
      <c r="X142" s="276"/>
    </row>
    <row r="143" spans="1:24" s="1350" customFormat="1">
      <c r="A143" s="276"/>
      <c r="B143" s="276"/>
      <c r="C143" s="270"/>
      <c r="D143" s="1489"/>
      <c r="E143" s="270"/>
      <c r="F143" s="270"/>
      <c r="G143" s="270"/>
      <c r="I143" s="276"/>
      <c r="J143" s="276"/>
      <c r="K143" s="276"/>
      <c r="L143" s="276"/>
      <c r="M143" s="276"/>
      <c r="N143" s="276"/>
      <c r="O143" s="276"/>
      <c r="P143" s="276"/>
      <c r="Q143" s="276"/>
      <c r="R143" s="276"/>
      <c r="S143" s="276"/>
      <c r="T143" s="276"/>
      <c r="U143" s="276"/>
      <c r="V143" s="276"/>
      <c r="W143" s="276"/>
      <c r="X143" s="276"/>
    </row>
    <row r="144" spans="1:24" s="1350" customFormat="1">
      <c r="A144" s="276"/>
      <c r="B144" s="276"/>
      <c r="C144" s="270"/>
      <c r="D144" s="1489"/>
      <c r="E144" s="270"/>
      <c r="F144" s="270"/>
      <c r="G144" s="270"/>
      <c r="I144" s="276"/>
      <c r="J144" s="276"/>
      <c r="K144" s="276"/>
      <c r="L144" s="276"/>
      <c r="M144" s="276"/>
      <c r="N144" s="276"/>
      <c r="O144" s="276"/>
      <c r="P144" s="276"/>
      <c r="Q144" s="276"/>
      <c r="R144" s="276"/>
      <c r="S144" s="276"/>
      <c r="T144" s="276"/>
      <c r="U144" s="276"/>
      <c r="V144" s="276"/>
      <c r="W144" s="276"/>
      <c r="X144" s="276"/>
    </row>
    <row r="145" spans="1:24" s="1350" customFormat="1">
      <c r="A145" s="276"/>
      <c r="B145" s="276"/>
      <c r="C145" s="270"/>
      <c r="D145" s="1489"/>
      <c r="E145" s="270"/>
      <c r="F145" s="270"/>
      <c r="G145" s="270"/>
      <c r="I145" s="276"/>
      <c r="J145" s="276"/>
      <c r="K145" s="276"/>
      <c r="L145" s="276"/>
      <c r="M145" s="276"/>
      <c r="N145" s="276"/>
      <c r="O145" s="276"/>
      <c r="P145" s="276"/>
      <c r="Q145" s="276"/>
      <c r="R145" s="276"/>
      <c r="S145" s="276"/>
      <c r="T145" s="276"/>
      <c r="U145" s="276"/>
      <c r="V145" s="276"/>
      <c r="W145" s="276"/>
      <c r="X145" s="276"/>
    </row>
    <row r="146" spans="1:24" s="1350" customFormat="1">
      <c r="A146" s="276"/>
      <c r="B146" s="276"/>
      <c r="C146" s="270"/>
      <c r="D146" s="1489"/>
      <c r="E146" s="270"/>
      <c r="F146" s="270"/>
      <c r="G146" s="270"/>
      <c r="I146" s="276"/>
      <c r="J146" s="276"/>
      <c r="K146" s="276"/>
      <c r="L146" s="276"/>
      <c r="M146" s="276"/>
      <c r="N146" s="276"/>
      <c r="O146" s="276"/>
      <c r="P146" s="276"/>
      <c r="Q146" s="276"/>
      <c r="R146" s="276"/>
      <c r="S146" s="276"/>
      <c r="T146" s="276"/>
      <c r="U146" s="276"/>
      <c r="V146" s="276"/>
      <c r="W146" s="276"/>
      <c r="X146" s="276"/>
    </row>
    <row r="147" spans="1:24" s="1350" customFormat="1">
      <c r="A147" s="276"/>
      <c r="B147" s="276"/>
      <c r="C147" s="270"/>
      <c r="D147" s="1489"/>
      <c r="E147" s="270"/>
      <c r="F147" s="270"/>
      <c r="G147" s="270"/>
      <c r="I147" s="276"/>
      <c r="J147" s="276"/>
      <c r="K147" s="276"/>
      <c r="L147" s="276"/>
      <c r="M147" s="276"/>
      <c r="N147" s="276"/>
      <c r="O147" s="276"/>
      <c r="P147" s="276"/>
      <c r="Q147" s="276"/>
      <c r="R147" s="276"/>
      <c r="S147" s="276"/>
      <c r="T147" s="276"/>
      <c r="U147" s="276"/>
      <c r="V147" s="276"/>
      <c r="W147" s="276"/>
      <c r="X147" s="276"/>
    </row>
  </sheetData>
  <mergeCells count="6">
    <mergeCell ref="C57:N57"/>
    <mergeCell ref="C3:N3"/>
    <mergeCell ref="C4:N4"/>
    <mergeCell ref="C5:N5"/>
    <mergeCell ref="C6:N6"/>
    <mergeCell ref="J8:N8"/>
  </mergeCells>
  <conditionalFormatting sqref="O54 O36 O13:O16">
    <cfRule type="cellIs" dxfId="5" priority="2" stopIfTrue="1" operator="equal">
      <formula>FALSE</formula>
    </cfRule>
  </conditionalFormatting>
  <conditionalFormatting sqref="O17">
    <cfRule type="cellIs" dxfId="4" priority="1" stopIfTrue="1" operator="equal">
      <formula>FALSE</formula>
    </cfRule>
  </conditionalFormatting>
  <pageMargins left="0.5" right="0.5" top="1" bottom="0.5" header="0.5" footer="0.5"/>
  <pageSetup scale="53" fitToHeight="0" orientation="portrait" r:id="rId1"/>
  <headerFooter alignWithMargins="0">
    <oddHeader>&amp;R&amp;18AEP - SPP Transco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152"/>
  <sheetViews>
    <sheetView zoomScale="81" zoomScaleNormal="81" zoomScaleSheetLayoutView="75" zoomScalePageLayoutView="75" workbookViewId="0">
      <selection activeCell="J35" sqref="J35"/>
    </sheetView>
  </sheetViews>
  <sheetFormatPr defaultColWidth="8.7109375" defaultRowHeight="12.75"/>
  <cols>
    <col min="1" max="2" width="1.7109375" style="276" customWidth="1"/>
    <col min="3" max="3" width="10.7109375" style="276" customWidth="1"/>
    <col min="4" max="4" width="1.7109375" style="1471" customWidth="1"/>
    <col min="5" max="5" width="11.28515625" style="276" customWidth="1"/>
    <col min="6" max="6" width="1.7109375" style="276" customWidth="1"/>
    <col min="7" max="7" width="53.28515625" style="276" customWidth="1"/>
    <col min="8" max="8" width="18.7109375" style="1350" customWidth="1"/>
    <col min="9" max="9" width="11.7109375" style="276" customWidth="1"/>
    <col min="10" max="10" width="16.7109375" style="276" customWidth="1"/>
    <col min="11" max="11" width="16.28515625" style="276" customWidth="1"/>
    <col min="12" max="12" width="18.7109375" style="276" customWidth="1"/>
    <col min="13" max="13" width="13.28515625" style="276" customWidth="1"/>
    <col min="14" max="14" width="17.28515625" style="276" customWidth="1"/>
    <col min="15" max="16384" width="8.7109375" style="276"/>
  </cols>
  <sheetData>
    <row r="1" spans="1:24" ht="15">
      <c r="A1" s="547"/>
    </row>
    <row r="2" spans="1:24" ht="20.25">
      <c r="A2" s="550"/>
      <c r="B2" s="551"/>
      <c r="D2" s="276"/>
      <c r="I2" s="1450"/>
      <c r="J2" s="1450"/>
      <c r="K2" s="1450"/>
      <c r="L2" s="1450"/>
      <c r="M2" s="1450"/>
      <c r="N2" s="504" t="s">
        <v>251</v>
      </c>
      <c r="O2" s="501"/>
    </row>
    <row r="3" spans="1:24" ht="20.25">
      <c r="A3" s="504"/>
      <c r="B3" s="503"/>
      <c r="C3" s="2200" t="str">
        <f>+'SWT TCOS'!F4</f>
        <v xml:space="preserve">AEP West SPP Member Transmission Companies </v>
      </c>
      <c r="D3" s="2200"/>
      <c r="E3" s="2200"/>
      <c r="F3" s="2200"/>
      <c r="G3" s="2200"/>
      <c r="H3" s="2200"/>
      <c r="I3" s="2200"/>
      <c r="J3" s="2200"/>
      <c r="K3" s="2200"/>
      <c r="L3" s="2200"/>
      <c r="M3" s="2200"/>
      <c r="N3" s="2200"/>
      <c r="O3" s="501"/>
    </row>
    <row r="4" spans="1:24" ht="18">
      <c r="C4" s="2305" t="str">
        <f>+'SWT TCOS'!F8</f>
        <v>AEP SOUTHWESTERN TRANSMISSION COMPANY</v>
      </c>
      <c r="D4" s="2305"/>
      <c r="E4" s="2305"/>
      <c r="F4" s="2305"/>
      <c r="G4" s="2305"/>
      <c r="H4" s="2305"/>
      <c r="I4" s="2305"/>
      <c r="J4" s="2305"/>
      <c r="K4" s="2305"/>
      <c r="L4" s="2305"/>
      <c r="M4" s="2305"/>
      <c r="N4" s="2305"/>
      <c r="O4" s="501"/>
    </row>
    <row r="5" spans="1:24" ht="18">
      <c r="C5" s="2305" t="s">
        <v>626</v>
      </c>
      <c r="D5" s="2305"/>
      <c r="E5" s="2305"/>
      <c r="F5" s="2305"/>
      <c r="G5" s="2305"/>
      <c r="H5" s="2305"/>
      <c r="I5" s="2305"/>
      <c r="J5" s="2305"/>
      <c r="K5" s="2305"/>
      <c r="L5" s="2305"/>
      <c r="M5" s="2305"/>
      <c r="N5" s="2305"/>
    </row>
    <row r="6" spans="1:24" ht="23.25" customHeight="1">
      <c r="C6" s="2204" t="str">
        <f>"AS OF DECEMBER 31, "&amp;'SWT TCOS'!N2-1&amp;""</f>
        <v>AS OF DECEMBER 31, 2021</v>
      </c>
      <c r="D6" s="2204"/>
      <c r="E6" s="2204"/>
      <c r="F6" s="2204"/>
      <c r="G6" s="2204"/>
      <c r="H6" s="2204"/>
      <c r="I6" s="2204"/>
      <c r="J6" s="2204"/>
      <c r="K6" s="2204"/>
      <c r="L6" s="2204"/>
      <c r="M6" s="2204"/>
      <c r="N6" s="2204"/>
    </row>
    <row r="7" spans="1:24">
      <c r="D7" s="276"/>
    </row>
    <row r="8" spans="1:24">
      <c r="D8" s="276"/>
      <c r="J8" s="2202" t="s">
        <v>149</v>
      </c>
      <c r="K8" s="2202"/>
      <c r="L8" s="2202"/>
      <c r="M8" s="2202"/>
      <c r="N8" s="2202"/>
    </row>
    <row r="9" spans="1:24" ht="25.5">
      <c r="C9" s="552" t="s">
        <v>387</v>
      </c>
      <c r="D9" s="553"/>
      <c r="E9" s="552" t="s">
        <v>150</v>
      </c>
      <c r="G9" s="552" t="s">
        <v>303</v>
      </c>
      <c r="H9" s="554" t="s">
        <v>313</v>
      </c>
      <c r="I9" s="555" t="s">
        <v>84</v>
      </c>
      <c r="J9" s="555" t="s">
        <v>151</v>
      </c>
      <c r="K9" s="555" t="s">
        <v>152</v>
      </c>
      <c r="L9" s="552" t="s">
        <v>153</v>
      </c>
      <c r="M9" s="552" t="s">
        <v>154</v>
      </c>
      <c r="N9" s="552" t="s">
        <v>297</v>
      </c>
    </row>
    <row r="11" spans="1:24" ht="12" customHeight="1">
      <c r="C11" s="2068">
        <v>2821001</v>
      </c>
      <c r="D11" s="1472" t="s">
        <v>334</v>
      </c>
      <c r="E11" s="2069" t="s">
        <v>1289</v>
      </c>
      <c r="F11" s="131"/>
      <c r="G11" s="557" t="s">
        <v>1290</v>
      </c>
      <c r="H11" s="1473">
        <v>-195.3</v>
      </c>
      <c r="I11" s="1474" t="s">
        <v>55</v>
      </c>
      <c r="J11" s="1475" t="str">
        <f t="shared" ref="J11:J16" si="0">IF(I11="e",H11," ")</f>
        <v xml:space="preserve"> </v>
      </c>
      <c r="K11" s="1458">
        <f t="shared" ref="K11:K16" si="1">IF($I11="T",$H11," ")</f>
        <v>-195.3</v>
      </c>
      <c r="L11" s="1458" t="str">
        <f t="shared" ref="L11:L16" si="2">IF($I11="PTD",$H11," ")</f>
        <v xml:space="preserve"> </v>
      </c>
      <c r="M11" s="1475" t="str">
        <f t="shared" ref="M11:M16" si="3">IF($I11="T&amp;D",$H11," ")</f>
        <v xml:space="preserve"> </v>
      </c>
      <c r="N11" s="1475" t="str">
        <f t="shared" ref="N11:N16" si="4">IF(I11="Labor",H11," ")</f>
        <v xml:space="preserve"> </v>
      </c>
      <c r="P11" s="131"/>
      <c r="Q11" s="131"/>
      <c r="R11" s="131"/>
      <c r="S11" s="131"/>
      <c r="T11" s="131"/>
      <c r="U11" s="131"/>
      <c r="V11" s="131"/>
      <c r="W11" s="131"/>
      <c r="X11" s="131"/>
    </row>
    <row r="12" spans="1:24">
      <c r="C12" s="2068">
        <v>2821001</v>
      </c>
      <c r="D12" s="1472" t="s">
        <v>334</v>
      </c>
      <c r="E12" s="2069" t="s">
        <v>1293</v>
      </c>
      <c r="F12" s="131"/>
      <c r="G12" s="557" t="s">
        <v>1294</v>
      </c>
      <c r="H12" s="1473">
        <v>-0.21</v>
      </c>
      <c r="I12" s="1474" t="s">
        <v>55</v>
      </c>
      <c r="J12" s="1475" t="str">
        <f t="shared" si="0"/>
        <v xml:space="preserve"> </v>
      </c>
      <c r="K12" s="1458">
        <f t="shared" si="1"/>
        <v>-0.21</v>
      </c>
      <c r="L12" s="1458" t="str">
        <f t="shared" si="2"/>
        <v xml:space="preserve"> </v>
      </c>
      <c r="M12" s="1475" t="str">
        <f t="shared" si="3"/>
        <v xml:space="preserve"> </v>
      </c>
      <c r="N12" s="1475" t="str">
        <f t="shared" si="4"/>
        <v xml:space="preserve"> </v>
      </c>
      <c r="P12" s="131"/>
      <c r="Q12" s="131"/>
      <c r="R12" s="131"/>
      <c r="S12" s="131"/>
      <c r="T12" s="131"/>
      <c r="U12" s="131"/>
      <c r="V12" s="131"/>
      <c r="W12" s="131"/>
      <c r="X12" s="131"/>
    </row>
    <row r="13" spans="1:24">
      <c r="C13" s="2068">
        <v>2821001</v>
      </c>
      <c r="D13" s="1476"/>
      <c r="E13" s="2069" t="s">
        <v>1307</v>
      </c>
      <c r="F13" s="558"/>
      <c r="G13" s="557" t="s">
        <v>1308</v>
      </c>
      <c r="H13" s="1473">
        <v>195.51</v>
      </c>
      <c r="I13" s="560" t="s">
        <v>55</v>
      </c>
      <c r="J13" s="1475" t="str">
        <f t="shared" si="0"/>
        <v xml:space="preserve"> </v>
      </c>
      <c r="K13" s="1458">
        <f t="shared" si="1"/>
        <v>195.51</v>
      </c>
      <c r="L13" s="1458" t="str">
        <f t="shared" si="2"/>
        <v xml:space="preserve"> </v>
      </c>
      <c r="M13" s="1475" t="str">
        <f t="shared" si="3"/>
        <v xml:space="preserve"> </v>
      </c>
      <c r="N13" s="1475" t="str">
        <f t="shared" si="4"/>
        <v xml:space="preserve"> </v>
      </c>
      <c r="O13" s="562"/>
    </row>
    <row r="14" spans="1:24">
      <c r="C14" s="2068">
        <v>2821001</v>
      </c>
      <c r="D14" s="1476"/>
      <c r="E14" s="2069" t="s">
        <v>1317</v>
      </c>
      <c r="F14" s="558"/>
      <c r="G14" s="557" t="s">
        <v>1318</v>
      </c>
      <c r="H14" s="1473">
        <v>-183</v>
      </c>
      <c r="I14" s="560" t="s">
        <v>813</v>
      </c>
      <c r="J14" s="559">
        <f>'SWT WS C-4 Excess FIT'!E43</f>
        <v>-183</v>
      </c>
      <c r="K14" s="559">
        <f>'SWT WS C-4 Excess FIT'!E42</f>
        <v>0</v>
      </c>
      <c r="L14" s="1458"/>
      <c r="M14" s="1475"/>
      <c r="N14" s="1475"/>
      <c r="O14" s="562"/>
    </row>
    <row r="15" spans="1:24">
      <c r="C15" s="2068">
        <v>2821001</v>
      </c>
      <c r="D15" s="1476"/>
      <c r="E15" s="2069" t="s">
        <v>1317</v>
      </c>
      <c r="F15" s="558"/>
      <c r="G15" s="557" t="s">
        <v>1319</v>
      </c>
      <c r="H15" s="1473">
        <v>313</v>
      </c>
      <c r="I15" s="560" t="s">
        <v>813</v>
      </c>
      <c r="J15" s="559">
        <v>9</v>
      </c>
      <c r="K15" s="559">
        <f>'SWT WS C-4 Excess FIT'!F25</f>
        <v>62.596000000000004</v>
      </c>
      <c r="L15" s="1458"/>
      <c r="M15" s="1475"/>
      <c r="N15" s="1475"/>
      <c r="O15" s="562"/>
    </row>
    <row r="16" spans="1:24">
      <c r="C16" s="1477"/>
      <c r="D16" s="1478"/>
      <c r="E16" s="1477"/>
      <c r="G16" s="567"/>
      <c r="H16" s="569"/>
      <c r="I16" s="570"/>
      <c r="J16" s="1475" t="str">
        <f t="shared" si="0"/>
        <v xml:space="preserve"> </v>
      </c>
      <c r="K16" s="1458" t="str">
        <f t="shared" si="1"/>
        <v xml:space="preserve"> </v>
      </c>
      <c r="L16" s="1458" t="str">
        <f t="shared" si="2"/>
        <v xml:space="preserve"> </v>
      </c>
      <c r="M16" s="1475" t="str">
        <f t="shared" si="3"/>
        <v xml:space="preserve"> </v>
      </c>
      <c r="N16" s="1475" t="str">
        <f t="shared" si="4"/>
        <v xml:space="preserve"> </v>
      </c>
      <c r="O16" s="562"/>
    </row>
    <row r="17" spans="3:16">
      <c r="C17" s="553">
        <v>282.10000000000002</v>
      </c>
      <c r="D17" s="276"/>
      <c r="G17" s="572" t="s">
        <v>156</v>
      </c>
      <c r="H17" s="573">
        <f>SUM(H11:H16)</f>
        <v>129.99999999999997</v>
      </c>
      <c r="I17" s="1458"/>
      <c r="J17" s="573">
        <f>SUM(J11:J16)</f>
        <v>-174</v>
      </c>
      <c r="K17" s="573">
        <f>SUM(K11:K16)</f>
        <v>62.595999999999975</v>
      </c>
      <c r="L17" s="573">
        <f>SUM(L11:L16)</f>
        <v>0</v>
      </c>
      <c r="M17" s="573">
        <f>SUM(M11:M16)</f>
        <v>0</v>
      </c>
      <c r="N17" s="573">
        <f>SUM(N11:N16)</f>
        <v>0</v>
      </c>
      <c r="O17" s="562"/>
      <c r="P17" s="1458">
        <f>SUM(J17:O17)</f>
        <v>-111.40400000000002</v>
      </c>
    </row>
    <row r="18" spans="3:16" ht="25.5">
      <c r="G18" s="1479" t="s">
        <v>166</v>
      </c>
      <c r="H18" s="1921">
        <v>129.58000000000001</v>
      </c>
      <c r="I18"/>
      <c r="J18" s="1480"/>
      <c r="K18" s="1458"/>
      <c r="L18" s="1458"/>
      <c r="M18" s="1458"/>
      <c r="N18" s="1458"/>
    </row>
    <row r="19" spans="3:16">
      <c r="H19" s="1481"/>
      <c r="I19" s="1458"/>
      <c r="J19" s="1458"/>
      <c r="K19" s="1458"/>
      <c r="L19" s="1458"/>
      <c r="M19" s="1458"/>
      <c r="N19" s="1458"/>
    </row>
    <row r="20" spans="3:16">
      <c r="H20" s="1481"/>
      <c r="I20" s="1458"/>
      <c r="J20" s="1458"/>
      <c r="K20" s="1458"/>
      <c r="L20" s="1458"/>
      <c r="M20" s="1458"/>
      <c r="N20" s="1458"/>
    </row>
    <row r="21" spans="3:16">
      <c r="C21" s="2068">
        <v>2831001</v>
      </c>
      <c r="D21" s="1482"/>
      <c r="E21" s="2069" t="s">
        <v>1345</v>
      </c>
      <c r="F21" s="558"/>
      <c r="G21" s="557" t="s">
        <v>1346</v>
      </c>
      <c r="H21" s="559">
        <v>-909.99</v>
      </c>
      <c r="I21" s="560" t="s">
        <v>288</v>
      </c>
      <c r="J21" s="1475">
        <f t="shared" ref="J21:J26" si="5">IF(I21="e",H21," ")</f>
        <v>-909.99</v>
      </c>
      <c r="K21" s="1458" t="str">
        <f t="shared" ref="K21:K22" si="6">IF($I21="T",$H21," ")</f>
        <v xml:space="preserve"> </v>
      </c>
      <c r="L21" s="1458" t="str">
        <f t="shared" ref="L21:L33" si="7">IF($I21="PTD",$H21," ")</f>
        <v xml:space="preserve"> </v>
      </c>
      <c r="M21" s="1475" t="str">
        <f t="shared" ref="M21:M33" si="8">IF($I21="T&amp;D",$H21," ")</f>
        <v xml:space="preserve"> </v>
      </c>
      <c r="N21" s="1475" t="str">
        <f t="shared" ref="N21:N22" si="9">IF(I21="Labor",H21," ")</f>
        <v xml:space="preserve"> </v>
      </c>
    </row>
    <row r="22" spans="3:16">
      <c r="C22" s="2068">
        <v>2831001</v>
      </c>
      <c r="D22" s="1482"/>
      <c r="E22" s="2069" t="s">
        <v>1320</v>
      </c>
      <c r="F22" s="558"/>
      <c r="G22" s="557" t="s">
        <v>1321</v>
      </c>
      <c r="H22" s="559">
        <v>0.01</v>
      </c>
      <c r="I22" s="560" t="s">
        <v>288</v>
      </c>
      <c r="J22" s="1475">
        <f t="shared" si="5"/>
        <v>0.01</v>
      </c>
      <c r="K22" s="1458" t="str">
        <f t="shared" si="6"/>
        <v xml:space="preserve"> </v>
      </c>
      <c r="L22" s="1458" t="str">
        <f t="shared" si="7"/>
        <v xml:space="preserve"> </v>
      </c>
      <c r="M22" s="1475" t="str">
        <f t="shared" si="8"/>
        <v xml:space="preserve"> </v>
      </c>
      <c r="N22" s="1475" t="str">
        <f t="shared" si="9"/>
        <v xml:space="preserve"> </v>
      </c>
    </row>
    <row r="23" spans="3:16">
      <c r="C23" s="2068">
        <v>2831001</v>
      </c>
      <c r="D23" s="1482"/>
      <c r="E23" s="2069" t="s">
        <v>1347</v>
      </c>
      <c r="F23" s="558"/>
      <c r="G23" s="557" t="s">
        <v>1348</v>
      </c>
      <c r="H23" s="559">
        <v>-26787.56</v>
      </c>
      <c r="I23" s="560" t="s">
        <v>288</v>
      </c>
      <c r="J23" s="1475">
        <f t="shared" si="5"/>
        <v>-26787.56</v>
      </c>
      <c r="K23" s="1458"/>
      <c r="L23" s="1458"/>
      <c r="M23" s="1475"/>
      <c r="N23" s="1475"/>
    </row>
    <row r="24" spans="3:16">
      <c r="C24" s="2068">
        <v>2831001</v>
      </c>
      <c r="D24" s="1482"/>
      <c r="E24" s="2069" t="s">
        <v>1349</v>
      </c>
      <c r="F24" s="558"/>
      <c r="G24" s="557" t="s">
        <v>1350</v>
      </c>
      <c r="H24" s="559">
        <v>27697.54</v>
      </c>
      <c r="I24" s="560" t="s">
        <v>288</v>
      </c>
      <c r="J24" s="1475">
        <f t="shared" si="5"/>
        <v>27697.54</v>
      </c>
      <c r="K24" s="1458"/>
      <c r="L24" s="1458"/>
      <c r="M24" s="1475"/>
      <c r="N24" s="1475"/>
    </row>
    <row r="25" spans="3:16">
      <c r="C25" s="2068">
        <v>2831001</v>
      </c>
      <c r="D25" s="1482"/>
      <c r="E25" s="2069" t="s">
        <v>1252</v>
      </c>
      <c r="F25" s="558"/>
      <c r="G25" s="557" t="s">
        <v>1253</v>
      </c>
      <c r="H25" s="559">
        <v>0</v>
      </c>
      <c r="I25" s="560" t="s">
        <v>288</v>
      </c>
      <c r="J25" s="1475">
        <f t="shared" ref="J25" si="10">IF(I25="e",H25," ")</f>
        <v>0</v>
      </c>
      <c r="K25" s="1458"/>
      <c r="L25" s="1458"/>
      <c r="M25" s="1475"/>
      <c r="N25" s="1475"/>
    </row>
    <row r="26" spans="3:16">
      <c r="C26" s="2068">
        <v>2831001</v>
      </c>
      <c r="D26" s="1482"/>
      <c r="E26" s="2069" t="s">
        <v>1326</v>
      </c>
      <c r="F26" s="558"/>
      <c r="G26" s="557" t="s">
        <v>1351</v>
      </c>
      <c r="H26" s="559">
        <v>-96.39</v>
      </c>
      <c r="I26" s="560" t="s">
        <v>288</v>
      </c>
      <c r="J26" s="1475">
        <f t="shared" si="5"/>
        <v>-96.39</v>
      </c>
      <c r="K26" s="1458" t="str">
        <f t="shared" ref="K26" si="11">IF($I26="T",$H26," ")</f>
        <v xml:space="preserve"> </v>
      </c>
      <c r="L26" s="1458" t="str">
        <f t="shared" ref="L26" si="12">IF($I26="PTD",$H26," ")</f>
        <v xml:space="preserve"> </v>
      </c>
      <c r="M26" s="1475" t="str">
        <f t="shared" ref="M26" si="13">IF($I26="T&amp;D",$H26," ")</f>
        <v xml:space="preserve"> </v>
      </c>
      <c r="N26" s="1475" t="str">
        <f t="shared" ref="N26" si="14">IF(I26="Labor",H26," ")</f>
        <v xml:space="preserve"> </v>
      </c>
    </row>
    <row r="27" spans="3:16">
      <c r="C27" s="2070">
        <v>2831001</v>
      </c>
      <c r="D27" s="1483"/>
      <c r="E27" s="2069" t="s">
        <v>1317</v>
      </c>
      <c r="F27" s="131"/>
      <c r="G27" s="557" t="s">
        <v>1328</v>
      </c>
      <c r="H27" s="559">
        <v>-13460.24</v>
      </c>
      <c r="I27" s="560" t="s">
        <v>813</v>
      </c>
      <c r="J27" s="559">
        <f>'SWT WS C-4 Excess FIT'!G26</f>
        <v>-15259.706</v>
      </c>
      <c r="K27" s="559">
        <v>3598.9320000000007</v>
      </c>
      <c r="L27" s="1458" t="str">
        <f t="shared" si="7"/>
        <v xml:space="preserve"> </v>
      </c>
      <c r="M27" s="1475" t="str">
        <f t="shared" si="8"/>
        <v xml:space="preserve"> </v>
      </c>
      <c r="N27" s="1475" t="str">
        <f t="shared" ref="N27:N29" si="15">IF(I27="Labor",H27," ")</f>
        <v xml:space="preserve"> </v>
      </c>
    </row>
    <row r="28" spans="3:16">
      <c r="C28" s="2068">
        <v>2831001</v>
      </c>
      <c r="D28" s="1483"/>
      <c r="E28" s="2069" t="s">
        <v>1317</v>
      </c>
      <c r="F28" s="131"/>
      <c r="G28" s="557" t="s">
        <v>1189</v>
      </c>
      <c r="H28" s="559">
        <v>223221.38</v>
      </c>
      <c r="I28" s="560" t="s">
        <v>1190</v>
      </c>
      <c r="J28" s="559">
        <f>H28-K28</f>
        <v>0</v>
      </c>
      <c r="K28" s="559">
        <v>223221.38</v>
      </c>
      <c r="L28" s="1458" t="str">
        <f t="shared" si="7"/>
        <v xml:space="preserve"> </v>
      </c>
      <c r="M28" s="1475" t="str">
        <f t="shared" si="8"/>
        <v xml:space="preserve"> </v>
      </c>
      <c r="N28" s="1475" t="str">
        <f t="shared" si="15"/>
        <v xml:space="preserve"> </v>
      </c>
    </row>
    <row r="29" spans="3:16">
      <c r="C29" s="2070">
        <v>2831001</v>
      </c>
      <c r="D29" s="1483"/>
      <c r="E29" s="2069" t="s">
        <v>1317</v>
      </c>
      <c r="F29" s="131"/>
      <c r="G29" s="557" t="s">
        <v>1189</v>
      </c>
      <c r="H29" s="559">
        <f>-H28</f>
        <v>-223221.38</v>
      </c>
      <c r="I29" s="560" t="s">
        <v>288</v>
      </c>
      <c r="J29" s="1475">
        <f t="shared" ref="J29" si="16">IF(I29="e",H29," ")</f>
        <v>-223221.38</v>
      </c>
      <c r="K29" s="1458" t="str">
        <f t="shared" ref="K29" si="17">IF($I29="T",$H29," ")</f>
        <v xml:space="preserve"> </v>
      </c>
      <c r="L29" s="1458" t="str">
        <f t="shared" si="7"/>
        <v xml:space="preserve"> </v>
      </c>
      <c r="M29" s="1475" t="str">
        <f t="shared" si="8"/>
        <v xml:space="preserve"> </v>
      </c>
      <c r="N29" s="1475" t="str">
        <f t="shared" si="15"/>
        <v xml:space="preserve"> </v>
      </c>
    </row>
    <row r="30" spans="3:16">
      <c r="C30" s="578"/>
      <c r="D30" s="1483"/>
      <c r="E30" s="577"/>
      <c r="F30" s="131"/>
      <c r="G30" s="557"/>
      <c r="H30" s="559"/>
      <c r="I30" s="560"/>
      <c r="J30" s="580"/>
      <c r="K30" s="580"/>
      <c r="L30" s="1458"/>
      <c r="M30" s="1475"/>
      <c r="N30" s="1475"/>
    </row>
    <row r="31" spans="3:16">
      <c r="C31" s="1932"/>
      <c r="D31" s="1933"/>
      <c r="E31" s="579"/>
      <c r="F31" s="137"/>
      <c r="G31" s="558"/>
      <c r="H31" s="580"/>
      <c r="I31" s="586"/>
      <c r="J31" s="580"/>
      <c r="K31" s="580"/>
      <c r="L31" s="1458"/>
      <c r="M31" s="1475"/>
      <c r="N31" s="1475"/>
    </row>
    <row r="32" spans="3:16">
      <c r="C32" s="2070">
        <v>2831002</v>
      </c>
      <c r="D32" s="2071"/>
      <c r="E32" s="2069" t="s">
        <v>1329</v>
      </c>
      <c r="F32" s="558"/>
      <c r="G32" s="557" t="s">
        <v>1330</v>
      </c>
      <c r="H32" s="559">
        <v>6948.04</v>
      </c>
      <c r="I32" s="560" t="s">
        <v>55</v>
      </c>
      <c r="J32" s="1475" t="str">
        <f t="shared" ref="J32:J33" si="18">IF(I32="e",H32," ")</f>
        <v xml:space="preserve"> </v>
      </c>
      <c r="K32" s="1458">
        <f t="shared" ref="K32:K33" si="19">IF($I32="T",$H32," ")</f>
        <v>6948.04</v>
      </c>
      <c r="L32" s="1458" t="str">
        <f t="shared" si="7"/>
        <v xml:space="preserve"> </v>
      </c>
      <c r="M32" s="1475" t="str">
        <f t="shared" si="8"/>
        <v xml:space="preserve"> </v>
      </c>
      <c r="N32" s="1475" t="str">
        <f t="shared" ref="N32:N33" si="20">IF(I32="Labor",H32," ")</f>
        <v xml:space="preserve"> </v>
      </c>
    </row>
    <row r="33" spans="3:16">
      <c r="C33" s="2070">
        <v>2831002</v>
      </c>
      <c r="D33" s="2071"/>
      <c r="E33" s="2069" t="s">
        <v>1326</v>
      </c>
      <c r="F33" s="558"/>
      <c r="G33" s="557" t="s">
        <v>1351</v>
      </c>
      <c r="H33" s="559">
        <v>459</v>
      </c>
      <c r="I33" s="560" t="s">
        <v>288</v>
      </c>
      <c r="J33" s="1475">
        <f t="shared" si="18"/>
        <v>459</v>
      </c>
      <c r="K33" s="1458" t="str">
        <f t="shared" si="19"/>
        <v xml:space="preserve"> </v>
      </c>
      <c r="L33" s="1458" t="str">
        <f t="shared" si="7"/>
        <v xml:space="preserve"> </v>
      </c>
      <c r="M33" s="1475" t="str">
        <f t="shared" si="8"/>
        <v xml:space="preserve"> </v>
      </c>
      <c r="N33" s="1475" t="str">
        <f t="shared" si="20"/>
        <v xml:space="preserve"> </v>
      </c>
    </row>
    <row r="34" spans="3:16">
      <c r="C34" s="578"/>
      <c r="D34" s="1482"/>
      <c r="E34" s="577"/>
      <c r="F34" s="558"/>
      <c r="G34" s="557"/>
      <c r="H34" s="559"/>
      <c r="I34" s="559"/>
      <c r="J34" s="1475"/>
      <c r="K34" s="1458"/>
      <c r="L34" s="1458"/>
      <c r="M34" s="1475"/>
      <c r="N34" s="1475"/>
    </row>
    <row r="35" spans="3:16">
      <c r="D35" s="276"/>
      <c r="H35" s="1458"/>
      <c r="I35" s="1458"/>
      <c r="J35" s="1481" t="str">
        <f>IF(I35="e",H35," ")</f>
        <v xml:space="preserve"> </v>
      </c>
      <c r="K35" s="1481"/>
      <c r="L35" s="1481" t="str">
        <f>IF($I35="PTD",$H35," ")</f>
        <v xml:space="preserve"> </v>
      </c>
      <c r="M35" s="1481" t="str">
        <f>IF($I35="T&amp;D",$H35," ")</f>
        <v xml:space="preserve"> </v>
      </c>
      <c r="N35" s="1481" t="str">
        <f>IF(I35="Labor",H35," ")</f>
        <v xml:space="preserve"> </v>
      </c>
    </row>
    <row r="36" spans="3:16">
      <c r="C36" s="553">
        <v>283.10000000000002</v>
      </c>
      <c r="D36" s="276"/>
      <c r="G36" s="572" t="s">
        <v>156</v>
      </c>
      <c r="H36" s="582">
        <f>SUM(H21:H35)+1</f>
        <v>-6148.5900000000047</v>
      </c>
      <c r="I36" s="1458"/>
      <c r="J36" s="582">
        <f>SUM(J21:J35)</f>
        <v>-238118.476</v>
      </c>
      <c r="K36" s="582">
        <f>SUM(K21:K35)</f>
        <v>233768.35200000001</v>
      </c>
      <c r="L36" s="582">
        <f>SUM(L21:L35)</f>
        <v>0</v>
      </c>
      <c r="M36" s="582">
        <f>SUM(M21:M35)</f>
        <v>0</v>
      </c>
      <c r="N36" s="582">
        <f>SUM(N21:N35)</f>
        <v>0</v>
      </c>
      <c r="O36" s="562"/>
      <c r="P36" s="1458">
        <f>SUM(J36:O36)</f>
        <v>-4350.1239999999816</v>
      </c>
    </row>
    <row r="37" spans="3:16" ht="25.5" customHeight="1">
      <c r="C37" s="583"/>
      <c r="D37" s="276"/>
      <c r="G37" s="1479" t="s">
        <v>110</v>
      </c>
      <c r="H37" s="1921">
        <v>-6149</v>
      </c>
      <c r="I37"/>
      <c r="J37" s="1480"/>
      <c r="K37" s="584"/>
      <c r="L37" s="584"/>
      <c r="M37" s="584"/>
      <c r="N37" s="584"/>
    </row>
    <row r="38" spans="3:16">
      <c r="G38" s="1484"/>
      <c r="H38" s="1485"/>
      <c r="I38" s="1458"/>
      <c r="J38" s="1458"/>
      <c r="K38" s="1458"/>
      <c r="L38" s="1458"/>
      <c r="M38" s="1458"/>
      <c r="N38" s="1458"/>
    </row>
    <row r="39" spans="3:16">
      <c r="H39" s="1481"/>
      <c r="I39" s="1458"/>
      <c r="J39" s="1458"/>
      <c r="K39" s="1458"/>
      <c r="L39" s="1458"/>
      <c r="M39" s="1458"/>
      <c r="N39" s="1458"/>
    </row>
    <row r="40" spans="3:16">
      <c r="C40" s="2068">
        <v>1901001</v>
      </c>
      <c r="D40" s="1486"/>
      <c r="E40" s="2069" t="s">
        <v>1335</v>
      </c>
      <c r="F40" s="558"/>
      <c r="G40" s="557" t="s">
        <v>1336</v>
      </c>
      <c r="H40" s="559">
        <v>19407.98</v>
      </c>
      <c r="I40" s="560" t="s">
        <v>288</v>
      </c>
      <c r="J40" s="1475">
        <f t="shared" ref="J40:J52" si="21">IF(I40="e",H40," ")</f>
        <v>19407.98</v>
      </c>
      <c r="K40" s="1458" t="str">
        <f t="shared" ref="K40:K52" si="22">IF($I40="T",$H40," ")</f>
        <v xml:space="preserve"> </v>
      </c>
      <c r="L40" s="1458" t="str">
        <f t="shared" ref="L40:L52" si="23">IF($I40="PTD",$H40," ")</f>
        <v xml:space="preserve"> </v>
      </c>
      <c r="M40" s="1475" t="str">
        <f t="shared" ref="M40:M52" si="24">IF($I40="T&amp;D",$H40," ")</f>
        <v xml:space="preserve"> </v>
      </c>
      <c r="N40" s="1475" t="str">
        <f t="shared" ref="N40:N52" si="25">IF(I40="Labor",H40," ")</f>
        <v xml:space="preserve"> </v>
      </c>
    </row>
    <row r="41" spans="3:16">
      <c r="C41" s="2068">
        <v>1901001</v>
      </c>
      <c r="D41" s="1486"/>
      <c r="E41" s="2069" t="s">
        <v>1341</v>
      </c>
      <c r="F41" s="558"/>
      <c r="G41" s="557" t="s">
        <v>1342</v>
      </c>
      <c r="H41" s="559">
        <v>62.68</v>
      </c>
      <c r="I41" s="560" t="s">
        <v>288</v>
      </c>
      <c r="J41" s="1475">
        <f>IF(I41="e",H41," ")</f>
        <v>62.68</v>
      </c>
      <c r="K41" s="1458" t="str">
        <f t="shared" si="22"/>
        <v xml:space="preserve"> </v>
      </c>
      <c r="L41" s="1458" t="str">
        <f t="shared" si="23"/>
        <v xml:space="preserve"> </v>
      </c>
      <c r="M41" s="1475" t="str">
        <f t="shared" si="24"/>
        <v xml:space="preserve"> </v>
      </c>
      <c r="N41" s="1475" t="str">
        <f>IF(I41="Labor",H41," ")</f>
        <v xml:space="preserve"> </v>
      </c>
    </row>
    <row r="42" spans="3:16">
      <c r="C42" s="2068">
        <v>1901001</v>
      </c>
      <c r="D42" s="1486"/>
      <c r="E42" s="2069" t="s">
        <v>1352</v>
      </c>
      <c r="F42" s="558"/>
      <c r="G42" s="557" t="s">
        <v>1353</v>
      </c>
      <c r="H42" s="559">
        <v>0.21</v>
      </c>
      <c r="I42" s="560" t="s">
        <v>288</v>
      </c>
      <c r="J42" s="1475">
        <f t="shared" si="21"/>
        <v>0.21</v>
      </c>
      <c r="K42" s="1458"/>
      <c r="L42" s="1458"/>
      <c r="M42" s="1475"/>
      <c r="N42" s="1475"/>
    </row>
    <row r="43" spans="3:16">
      <c r="C43" s="2068">
        <v>1901001</v>
      </c>
      <c r="D43" s="1486"/>
      <c r="E43" s="2069" t="s">
        <v>1329</v>
      </c>
      <c r="F43" s="558"/>
      <c r="G43" s="557" t="s">
        <v>1330</v>
      </c>
      <c r="H43" s="559">
        <v>-1459.09</v>
      </c>
      <c r="I43" s="560" t="s">
        <v>55</v>
      </c>
      <c r="J43" s="1475" t="str">
        <f t="shared" si="21"/>
        <v xml:space="preserve"> </v>
      </c>
      <c r="K43" s="1458">
        <f t="shared" si="22"/>
        <v>-1459.09</v>
      </c>
      <c r="L43" s="1458" t="str">
        <f t="shared" si="23"/>
        <v xml:space="preserve"> </v>
      </c>
      <c r="M43" s="1475" t="str">
        <f t="shared" si="24"/>
        <v xml:space="preserve"> </v>
      </c>
      <c r="N43" s="1475" t="str">
        <f t="shared" si="25"/>
        <v xml:space="preserve"> </v>
      </c>
    </row>
    <row r="44" spans="3:16">
      <c r="C44" s="2068">
        <v>1901001</v>
      </c>
      <c r="D44" s="1486"/>
      <c r="E44" s="2069" t="s">
        <v>1354</v>
      </c>
      <c r="F44" s="558"/>
      <c r="G44" s="557" t="s">
        <v>1355</v>
      </c>
      <c r="H44" s="559">
        <v>37386.300000000003</v>
      </c>
      <c r="I44" s="560" t="s">
        <v>1190</v>
      </c>
      <c r="J44" s="559">
        <f>H44-K44</f>
        <v>0</v>
      </c>
      <c r="K44" s="559">
        <v>37386.300000000003</v>
      </c>
      <c r="L44" s="1458"/>
      <c r="M44" s="1475"/>
      <c r="N44" s="1475"/>
    </row>
    <row r="45" spans="3:16">
      <c r="C45" s="2068">
        <v>1901001</v>
      </c>
      <c r="D45" s="1486"/>
      <c r="E45" s="2069" t="s">
        <v>1354</v>
      </c>
      <c r="F45" s="558"/>
      <c r="G45" s="557" t="s">
        <v>1191</v>
      </c>
      <c r="H45" s="559">
        <v>453967.11999999994</v>
      </c>
      <c r="I45" s="560" t="s">
        <v>1190</v>
      </c>
      <c r="J45" s="559">
        <f>H45-K45</f>
        <v>0</v>
      </c>
      <c r="K45" s="559">
        <v>453967.11999999994</v>
      </c>
      <c r="L45" s="1458" t="str">
        <f t="shared" si="23"/>
        <v xml:space="preserve"> </v>
      </c>
      <c r="M45" s="1475" t="str">
        <f t="shared" si="24"/>
        <v xml:space="preserve"> </v>
      </c>
      <c r="N45" s="1475" t="str">
        <f t="shared" si="25"/>
        <v xml:space="preserve"> </v>
      </c>
    </row>
    <row r="46" spans="3:16">
      <c r="C46" s="2068">
        <v>1901001</v>
      </c>
      <c r="D46" s="1486"/>
      <c r="E46" s="2069" t="s">
        <v>1354</v>
      </c>
      <c r="F46" s="558"/>
      <c r="G46" s="557" t="s">
        <v>1191</v>
      </c>
      <c r="H46" s="559">
        <f>-H45</f>
        <v>-453967.11999999994</v>
      </c>
      <c r="I46" s="560" t="s">
        <v>288</v>
      </c>
      <c r="J46" s="1475">
        <f t="shared" ref="J46" si="26">IF(I46="e",H46," ")</f>
        <v>-453967.11999999994</v>
      </c>
      <c r="K46" s="1458" t="str">
        <f t="shared" ref="K46" si="27">IF($I46="T",$H46," ")</f>
        <v xml:space="preserve"> </v>
      </c>
      <c r="L46" s="1458" t="str">
        <f t="shared" si="23"/>
        <v xml:space="preserve"> </v>
      </c>
      <c r="M46" s="1475" t="str">
        <f t="shared" si="24"/>
        <v xml:space="preserve"> </v>
      </c>
      <c r="N46" s="1475" t="str">
        <f t="shared" si="25"/>
        <v xml:space="preserve"> </v>
      </c>
    </row>
    <row r="47" spans="3:16">
      <c r="C47" s="578"/>
      <c r="D47" s="1486"/>
      <c r="E47" s="577"/>
      <c r="F47" s="558"/>
      <c r="G47" s="557"/>
      <c r="H47" s="559"/>
      <c r="I47" s="560"/>
      <c r="J47" s="1475"/>
      <c r="K47" s="1458"/>
      <c r="L47" s="1458"/>
      <c r="M47" s="1475"/>
      <c r="N47" s="1475"/>
    </row>
    <row r="48" spans="3:16">
      <c r="C48" s="1932"/>
      <c r="D48" s="1486"/>
      <c r="E48" s="579"/>
      <c r="F48" s="558"/>
      <c r="G48" s="558"/>
      <c r="H48" s="580"/>
      <c r="I48" s="586"/>
      <c r="J48" s="1475" t="str">
        <f t="shared" si="21"/>
        <v xml:space="preserve"> </v>
      </c>
      <c r="K48" s="1458" t="str">
        <f t="shared" si="22"/>
        <v xml:space="preserve"> </v>
      </c>
      <c r="L48" s="1458" t="str">
        <f t="shared" si="23"/>
        <v xml:space="preserve"> </v>
      </c>
      <c r="M48" s="1475" t="str">
        <f t="shared" si="24"/>
        <v xml:space="preserve"> </v>
      </c>
      <c r="N48" s="1475" t="str">
        <f t="shared" si="25"/>
        <v xml:space="preserve"> </v>
      </c>
    </row>
    <row r="49" spans="3:16">
      <c r="C49" s="2070">
        <v>1901002</v>
      </c>
      <c r="D49" s="2072"/>
      <c r="E49" s="2069" t="s">
        <v>1345</v>
      </c>
      <c r="F49" s="558"/>
      <c r="G49" s="557" t="s">
        <v>1346</v>
      </c>
      <c r="H49" s="559">
        <v>4333.29</v>
      </c>
      <c r="I49" s="560" t="s">
        <v>288</v>
      </c>
      <c r="J49" s="1475">
        <f t="shared" si="21"/>
        <v>4333.29</v>
      </c>
      <c r="K49" s="1458" t="str">
        <f t="shared" si="22"/>
        <v xml:space="preserve"> </v>
      </c>
      <c r="L49" s="1458" t="str">
        <f t="shared" si="23"/>
        <v xml:space="preserve"> </v>
      </c>
      <c r="M49" s="1475" t="str">
        <f t="shared" si="24"/>
        <v xml:space="preserve"> </v>
      </c>
      <c r="N49" s="1475" t="str">
        <f t="shared" si="25"/>
        <v xml:space="preserve"> </v>
      </c>
    </row>
    <row r="50" spans="3:16">
      <c r="C50" s="2070">
        <v>1901002</v>
      </c>
      <c r="D50" s="2072"/>
      <c r="E50" s="2069" t="s">
        <v>1347</v>
      </c>
      <c r="F50" s="558"/>
      <c r="G50" s="557" t="s">
        <v>1348</v>
      </c>
      <c r="H50" s="559">
        <v>127559.78</v>
      </c>
      <c r="I50" s="560" t="s">
        <v>288</v>
      </c>
      <c r="J50" s="1475">
        <f t="shared" si="21"/>
        <v>127559.78</v>
      </c>
      <c r="K50" s="1458" t="str">
        <f t="shared" si="22"/>
        <v xml:space="preserve"> </v>
      </c>
      <c r="L50" s="1458" t="str">
        <f t="shared" si="23"/>
        <v xml:space="preserve"> </v>
      </c>
      <c r="M50" s="1475" t="str">
        <f t="shared" si="24"/>
        <v xml:space="preserve"> </v>
      </c>
      <c r="N50" s="1475" t="str">
        <f t="shared" si="25"/>
        <v xml:space="preserve"> </v>
      </c>
    </row>
    <row r="51" spans="3:16">
      <c r="C51" s="2070">
        <v>1901002</v>
      </c>
      <c r="D51" s="2072"/>
      <c r="E51" s="2069" t="s">
        <v>1349</v>
      </c>
      <c r="F51" s="558"/>
      <c r="G51" s="557" t="s">
        <v>1350</v>
      </c>
      <c r="H51" s="559">
        <v>-131893.07</v>
      </c>
      <c r="I51" s="560" t="s">
        <v>288</v>
      </c>
      <c r="J51" s="1475">
        <f t="shared" si="21"/>
        <v>-131893.07</v>
      </c>
      <c r="K51" s="1458" t="str">
        <f t="shared" si="22"/>
        <v xml:space="preserve"> </v>
      </c>
      <c r="L51" s="1458" t="str">
        <f t="shared" si="23"/>
        <v xml:space="preserve"> </v>
      </c>
      <c r="M51" s="1475" t="str">
        <f t="shared" si="24"/>
        <v xml:space="preserve"> </v>
      </c>
      <c r="N51" s="1475" t="str">
        <f t="shared" si="25"/>
        <v xml:space="preserve"> </v>
      </c>
    </row>
    <row r="52" spans="3:16">
      <c r="C52" s="578"/>
      <c r="D52" s="1486"/>
      <c r="E52" s="577"/>
      <c r="F52" s="558"/>
      <c r="G52" s="557"/>
      <c r="H52" s="559"/>
      <c r="I52" s="560"/>
      <c r="J52" s="1475" t="str">
        <f t="shared" si="21"/>
        <v xml:space="preserve"> </v>
      </c>
      <c r="K52" s="1458" t="str">
        <f t="shared" si="22"/>
        <v xml:space="preserve"> </v>
      </c>
      <c r="L52" s="1458" t="str">
        <f t="shared" si="23"/>
        <v xml:space="preserve"> </v>
      </c>
      <c r="M52" s="1475" t="str">
        <f t="shared" si="24"/>
        <v xml:space="preserve"> </v>
      </c>
      <c r="N52" s="1475" t="str">
        <f t="shared" si="25"/>
        <v xml:space="preserve"> </v>
      </c>
    </row>
    <row r="53" spans="3:16">
      <c r="C53" s="1487"/>
      <c r="J53" s="1484"/>
    </row>
    <row r="54" spans="3:16">
      <c r="C54" s="553">
        <v>190.1</v>
      </c>
      <c r="D54" s="276"/>
      <c r="G54" s="572" t="s">
        <v>156</v>
      </c>
      <c r="H54" s="582">
        <f>SUM(H40:H53)</f>
        <v>55398.080000000016</v>
      </c>
      <c r="I54" s="1458"/>
      <c r="J54" s="582">
        <f>SUM(J40:J53)</f>
        <v>-434496.24999999994</v>
      </c>
      <c r="K54" s="582">
        <f>SUM(K40:K53)</f>
        <v>489894.32999999996</v>
      </c>
      <c r="L54" s="582">
        <f>SUM(L40:L53)</f>
        <v>0</v>
      </c>
      <c r="M54" s="582">
        <f>SUM(M40:M53)</f>
        <v>0</v>
      </c>
      <c r="N54" s="582">
        <f>SUM(N40:N53)</f>
        <v>0</v>
      </c>
      <c r="O54" s="562"/>
      <c r="P54" s="1458">
        <f>SUM(J54:O54)</f>
        <v>55398.080000000016</v>
      </c>
    </row>
    <row r="55" spans="3:16">
      <c r="G55" s="1479" t="s">
        <v>126</v>
      </c>
      <c r="H55" s="1921">
        <v>55398</v>
      </c>
      <c r="I55"/>
      <c r="J55" s="1480"/>
    </row>
    <row r="56" spans="3:16">
      <c r="G56" s="1479"/>
      <c r="H56" s="1488"/>
    </row>
    <row r="58" spans="3:16">
      <c r="J58" s="1484"/>
    </row>
    <row r="75" spans="3:8">
      <c r="C75" s="270"/>
      <c r="D75" s="1489"/>
      <c r="E75" s="270"/>
      <c r="G75" s="270"/>
      <c r="H75" s="1382"/>
    </row>
    <row r="111" spans="3:6">
      <c r="C111" s="270"/>
      <c r="D111" s="270"/>
      <c r="E111" s="270"/>
      <c r="F111" s="1471"/>
    </row>
    <row r="112" spans="3:6">
      <c r="C112" s="270"/>
      <c r="D112" s="270"/>
      <c r="E112" s="270"/>
    </row>
    <row r="113" spans="3:5">
      <c r="C113" s="270"/>
      <c r="D113" s="270"/>
      <c r="E113" s="270"/>
    </row>
    <row r="114" spans="3:5">
      <c r="C114" s="270"/>
      <c r="D114" s="270"/>
      <c r="E114" s="270"/>
    </row>
    <row r="115" spans="3:5">
      <c r="C115" s="270"/>
      <c r="D115" s="270"/>
      <c r="E115" s="270"/>
    </row>
    <row r="116" spans="3:5">
      <c r="C116" s="270"/>
      <c r="D116" s="270"/>
      <c r="E116" s="270"/>
    </row>
    <row r="117" spans="3:5">
      <c r="C117" s="270"/>
      <c r="D117" s="270"/>
      <c r="E117" s="270"/>
    </row>
    <row r="118" spans="3:5">
      <c r="C118" s="270"/>
      <c r="D118" s="270"/>
      <c r="E118" s="270"/>
    </row>
    <row r="119" spans="3:5">
      <c r="C119" s="270"/>
      <c r="D119" s="270"/>
      <c r="E119" s="270"/>
    </row>
    <row r="120" spans="3:5">
      <c r="C120" s="270"/>
      <c r="D120" s="270"/>
      <c r="E120" s="270"/>
    </row>
    <row r="121" spans="3:5">
      <c r="C121" s="270"/>
      <c r="D121" s="270"/>
      <c r="E121" s="270"/>
    </row>
    <row r="122" spans="3:5">
      <c r="C122" s="270"/>
      <c r="D122" s="270"/>
      <c r="E122" s="270"/>
    </row>
    <row r="123" spans="3:5">
      <c r="C123" s="270"/>
      <c r="D123" s="270"/>
      <c r="E123" s="270"/>
    </row>
    <row r="124" spans="3:5">
      <c r="C124" s="270"/>
      <c r="D124" s="270"/>
      <c r="E124" s="270"/>
    </row>
    <row r="125" spans="3:5">
      <c r="C125" s="270"/>
      <c r="D125" s="270"/>
      <c r="E125" s="270"/>
    </row>
    <row r="126" spans="3:5">
      <c r="C126" s="270"/>
      <c r="D126" s="270"/>
      <c r="E126" s="270"/>
    </row>
    <row r="127" spans="3:5">
      <c r="C127" s="270"/>
      <c r="D127" s="270"/>
      <c r="E127" s="270"/>
    </row>
    <row r="128" spans="3:5">
      <c r="C128" s="270"/>
      <c r="D128" s="270"/>
      <c r="E128" s="270"/>
    </row>
    <row r="129" spans="1:15">
      <c r="C129" s="270"/>
      <c r="D129" s="270"/>
      <c r="E129" s="270"/>
    </row>
    <row r="130" spans="1:15">
      <c r="D130" s="276"/>
    </row>
    <row r="131" spans="1:15">
      <c r="D131" s="276"/>
    </row>
    <row r="132" spans="1:15">
      <c r="D132" s="276"/>
    </row>
    <row r="133" spans="1:15">
      <c r="D133" s="276"/>
    </row>
    <row r="134" spans="1:15">
      <c r="D134" s="276"/>
    </row>
    <row r="135" spans="1:15">
      <c r="D135" s="276"/>
    </row>
    <row r="136" spans="1:15">
      <c r="D136" s="276"/>
    </row>
    <row r="137" spans="1:15">
      <c r="D137" s="276"/>
    </row>
    <row r="138" spans="1:15">
      <c r="D138" s="276"/>
    </row>
    <row r="139" spans="1:15">
      <c r="D139" s="276"/>
    </row>
    <row r="140" spans="1:15">
      <c r="D140" s="276"/>
    </row>
    <row r="141" spans="1:15" s="1350" customFormat="1">
      <c r="A141" s="276"/>
      <c r="B141" s="276"/>
      <c r="C141" s="276"/>
      <c r="D141" s="276"/>
      <c r="E141" s="276"/>
      <c r="F141" s="276"/>
      <c r="G141" s="276"/>
      <c r="I141" s="276"/>
      <c r="J141" s="276"/>
      <c r="K141" s="276"/>
      <c r="L141" s="276"/>
      <c r="M141" s="276"/>
      <c r="N141" s="276"/>
      <c r="O141" s="276"/>
    </row>
    <row r="142" spans="1:15" s="1350" customFormat="1">
      <c r="A142" s="276"/>
      <c r="B142" s="276"/>
      <c r="C142" s="276"/>
      <c r="D142" s="276"/>
      <c r="E142" s="276"/>
      <c r="F142" s="276"/>
      <c r="G142" s="276"/>
      <c r="I142" s="276"/>
      <c r="J142" s="276"/>
      <c r="K142" s="276"/>
      <c r="L142" s="276"/>
      <c r="M142" s="276"/>
      <c r="N142" s="276"/>
      <c r="O142" s="276"/>
    </row>
    <row r="143" spans="1:15" s="1350" customFormat="1">
      <c r="A143" s="276"/>
      <c r="B143" s="276"/>
      <c r="C143" s="276"/>
      <c r="D143" s="276"/>
      <c r="E143" s="276"/>
      <c r="F143" s="276"/>
      <c r="G143" s="276"/>
      <c r="I143" s="276"/>
      <c r="J143" s="276"/>
      <c r="K143" s="276"/>
      <c r="L143" s="276"/>
      <c r="M143" s="276"/>
      <c r="N143" s="276"/>
      <c r="O143" s="276"/>
    </row>
    <row r="144" spans="1:15" s="1350" customFormat="1">
      <c r="A144" s="276"/>
      <c r="B144" s="276"/>
      <c r="C144" s="276"/>
      <c r="D144" s="276"/>
      <c r="E144" s="276"/>
      <c r="F144" s="276"/>
      <c r="G144" s="276"/>
      <c r="I144" s="276"/>
      <c r="J144" s="276"/>
      <c r="K144" s="276"/>
      <c r="L144" s="276"/>
      <c r="M144" s="276"/>
      <c r="N144" s="276"/>
      <c r="O144" s="276"/>
    </row>
    <row r="145" spans="1:15" s="1350" customFormat="1">
      <c r="A145" s="276"/>
      <c r="B145" s="276"/>
      <c r="C145" s="276"/>
      <c r="D145" s="276"/>
      <c r="E145" s="276"/>
      <c r="F145" s="276"/>
      <c r="G145" s="276"/>
      <c r="I145" s="276"/>
      <c r="J145" s="276"/>
      <c r="K145" s="276"/>
      <c r="L145" s="276"/>
      <c r="M145" s="276"/>
      <c r="N145" s="276"/>
      <c r="O145" s="276"/>
    </row>
    <row r="146" spans="1:15" s="1350" customFormat="1">
      <c r="A146" s="276"/>
      <c r="B146" s="276"/>
      <c r="C146" s="276"/>
      <c r="D146" s="276"/>
      <c r="E146" s="276"/>
      <c r="F146" s="276"/>
      <c r="G146" s="276"/>
      <c r="I146" s="276"/>
      <c r="J146" s="276"/>
      <c r="K146" s="276"/>
      <c r="L146" s="276"/>
      <c r="M146" s="276"/>
      <c r="N146" s="276"/>
      <c r="O146" s="276"/>
    </row>
    <row r="147" spans="1:15" s="1350" customFormat="1">
      <c r="A147" s="276"/>
      <c r="B147" s="276"/>
      <c r="C147" s="270"/>
      <c r="D147" s="1489"/>
      <c r="E147" s="270"/>
      <c r="F147" s="270"/>
      <c r="G147" s="270"/>
      <c r="I147" s="276"/>
      <c r="J147" s="276"/>
      <c r="K147" s="276"/>
      <c r="L147" s="276"/>
      <c r="M147" s="276"/>
      <c r="N147" s="276"/>
      <c r="O147" s="276"/>
    </row>
    <row r="148" spans="1:15" s="1350" customFormat="1">
      <c r="A148" s="276"/>
      <c r="B148" s="276"/>
      <c r="C148" s="270"/>
      <c r="D148" s="1489"/>
      <c r="E148" s="270"/>
      <c r="F148" s="270"/>
      <c r="G148" s="270"/>
      <c r="I148" s="276"/>
      <c r="J148" s="276"/>
      <c r="K148" s="276"/>
      <c r="L148" s="276"/>
      <c r="M148" s="276"/>
      <c r="N148" s="276"/>
      <c r="O148" s="276"/>
    </row>
    <row r="149" spans="1:15" s="1350" customFormat="1">
      <c r="A149" s="276"/>
      <c r="B149" s="276"/>
      <c r="C149" s="270"/>
      <c r="D149" s="1489"/>
      <c r="E149" s="270"/>
      <c r="F149" s="270"/>
      <c r="G149" s="270"/>
      <c r="I149" s="276"/>
      <c r="J149" s="276"/>
      <c r="K149" s="276"/>
      <c r="L149" s="276"/>
      <c r="M149" s="276"/>
      <c r="N149" s="276"/>
      <c r="O149" s="276"/>
    </row>
    <row r="150" spans="1:15" s="1350" customFormat="1">
      <c r="A150" s="276"/>
      <c r="B150" s="276"/>
      <c r="C150" s="270"/>
      <c r="D150" s="1489"/>
      <c r="E150" s="270"/>
      <c r="F150" s="270"/>
      <c r="G150" s="270"/>
      <c r="I150" s="276"/>
      <c r="J150" s="276"/>
      <c r="K150" s="276"/>
      <c r="L150" s="276"/>
      <c r="M150" s="276"/>
      <c r="N150" s="276"/>
      <c r="O150" s="276"/>
    </row>
    <row r="151" spans="1:15" s="1350" customFormat="1">
      <c r="A151" s="276"/>
      <c r="B151" s="276"/>
      <c r="C151" s="270"/>
      <c r="D151" s="1489"/>
      <c r="E151" s="270"/>
      <c r="F151" s="270"/>
      <c r="G151" s="270"/>
      <c r="I151" s="276"/>
      <c r="J151" s="276"/>
      <c r="K151" s="276"/>
      <c r="L151" s="276"/>
      <c r="M151" s="276"/>
      <c r="N151" s="276"/>
      <c r="O151" s="276"/>
    </row>
    <row r="152" spans="1:15" s="1350" customFormat="1">
      <c r="A152" s="276"/>
      <c r="B152" s="276"/>
      <c r="C152" s="270"/>
      <c r="D152" s="1489"/>
      <c r="E152" s="270"/>
      <c r="F152" s="270"/>
      <c r="G152" s="270"/>
      <c r="I152" s="276"/>
      <c r="J152" s="276"/>
      <c r="K152" s="276"/>
      <c r="L152" s="276"/>
      <c r="M152" s="276"/>
      <c r="N152" s="276"/>
      <c r="O152" s="276"/>
    </row>
  </sheetData>
  <mergeCells count="5">
    <mergeCell ref="C3:N3"/>
    <mergeCell ref="C4:N4"/>
    <mergeCell ref="C5:N5"/>
    <mergeCell ref="C6:N6"/>
    <mergeCell ref="J8:N8"/>
  </mergeCells>
  <conditionalFormatting sqref="O13:O17">
    <cfRule type="cellIs" dxfId="3" priority="1" stopIfTrue="1" operator="equal">
      <formula>FALSE</formula>
    </cfRule>
  </conditionalFormatting>
  <conditionalFormatting sqref="O54 O36">
    <cfRule type="cellIs" dxfId="2" priority="2"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Transco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3"/>
  <sheetViews>
    <sheetView zoomScale="90" zoomScaleNormal="90" zoomScaleSheetLayoutView="90" zoomScalePageLayoutView="90" workbookViewId="0">
      <selection activeCell="H11" sqref="H11"/>
    </sheetView>
  </sheetViews>
  <sheetFormatPr defaultColWidth="9.28515625" defaultRowHeight="12.75"/>
  <cols>
    <col min="1" max="1" width="9.28515625" style="394"/>
    <col min="2" max="2" width="33.7109375" style="394" customWidth="1"/>
    <col min="3" max="3" width="16" style="394" customWidth="1"/>
    <col min="4" max="4" width="16.7109375" style="394" customWidth="1"/>
    <col min="5" max="6" width="12" style="394" customWidth="1"/>
    <col min="7" max="7" width="15" style="394" customWidth="1"/>
    <col min="8" max="8" width="17.28515625" style="394" customWidth="1"/>
    <col min="9" max="9" width="16.5703125" style="394" customWidth="1"/>
    <col min="10" max="16384" width="9.28515625" style="394"/>
  </cols>
  <sheetData>
    <row r="1" spans="1:256" ht="15">
      <c r="A1" s="477"/>
    </row>
    <row r="3" spans="1:256" ht="18" customHeight="1">
      <c r="A3" s="2200" t="str">
        <f>+'SWT TCOS'!F4</f>
        <v xml:space="preserve">AEP West SPP Member Transmission Companies </v>
      </c>
      <c r="B3" s="2200"/>
      <c r="C3" s="2200"/>
      <c r="D3" s="2200"/>
      <c r="E3" s="2200"/>
      <c r="F3" s="2200"/>
      <c r="G3" s="2200"/>
      <c r="H3" s="2200"/>
      <c r="I3" s="2200"/>
      <c r="J3" s="593"/>
      <c r="K3" s="593"/>
      <c r="L3" s="593"/>
    </row>
    <row r="4" spans="1:256" ht="18">
      <c r="A4" s="2310" t="str">
        <f>+'SWT TCOS'!F8</f>
        <v>AEP SOUTHWESTERN TRANSMISSION COMPANY</v>
      </c>
      <c r="B4" s="2310"/>
      <c r="C4" s="2310"/>
      <c r="D4" s="2310"/>
      <c r="E4" s="2310"/>
      <c r="F4" s="2310"/>
      <c r="G4" s="2310"/>
      <c r="H4" s="2310"/>
      <c r="I4" s="2310"/>
      <c r="J4" s="1492"/>
      <c r="K4" s="1492"/>
      <c r="L4" s="1492"/>
    </row>
    <row r="5" spans="1:256" ht="18">
      <c r="A5" s="2305" t="s">
        <v>627</v>
      </c>
      <c r="B5" s="2305"/>
      <c r="C5" s="2305"/>
      <c r="D5" s="2305"/>
      <c r="E5" s="2305"/>
      <c r="F5" s="2305"/>
      <c r="G5" s="2305"/>
      <c r="H5" s="2305"/>
      <c r="I5" s="2305"/>
      <c r="J5" s="1492"/>
      <c r="K5" s="1492"/>
      <c r="L5" s="1492"/>
    </row>
    <row r="6" spans="1:256" ht="18">
      <c r="A6" s="2204" t="str">
        <f>"AS OF DECEMBER 31, "&amp;'SWT TCOS'!N2&amp;""</f>
        <v>AS OF DECEMBER 31, 2022</v>
      </c>
      <c r="B6" s="2204"/>
      <c r="C6" s="2204"/>
      <c r="D6" s="2204"/>
      <c r="E6" s="2204"/>
      <c r="F6" s="2204"/>
      <c r="G6" s="2204"/>
      <c r="H6" s="2204"/>
      <c r="I6" s="2204"/>
      <c r="J6" s="595"/>
      <c r="K6" s="595"/>
      <c r="L6" s="595"/>
    </row>
    <row r="7" spans="1:256" ht="15.75">
      <c r="A7" s="1493"/>
      <c r="B7" s="2311"/>
      <c r="C7" s="2311"/>
      <c r="D7" s="2311"/>
      <c r="E7" s="2311"/>
      <c r="F7" s="1494"/>
      <c r="G7" s="1494"/>
      <c r="H7" s="1494"/>
      <c r="I7" s="1494"/>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3"/>
      <c r="AG7" s="1493"/>
      <c r="AH7" s="1493"/>
      <c r="AI7" s="1493"/>
      <c r="AJ7" s="1493"/>
      <c r="AK7" s="1493"/>
      <c r="AL7" s="1493"/>
      <c r="AM7" s="1493"/>
      <c r="AN7" s="1493"/>
      <c r="AO7" s="1493"/>
      <c r="AP7" s="1493"/>
      <c r="AQ7" s="1493"/>
      <c r="AR7" s="1493"/>
      <c r="AS7" s="1493"/>
      <c r="AT7" s="1493"/>
      <c r="AU7" s="1493"/>
      <c r="AV7" s="1493"/>
      <c r="AW7" s="1493"/>
      <c r="AX7" s="1493"/>
      <c r="AY7" s="1493"/>
      <c r="AZ7" s="1493"/>
      <c r="BA7" s="1493"/>
      <c r="BB7" s="1493"/>
      <c r="BC7" s="1493"/>
      <c r="BD7" s="1493"/>
      <c r="BE7" s="1493"/>
      <c r="BF7" s="1493"/>
      <c r="BG7" s="1493"/>
      <c r="BH7" s="1493"/>
      <c r="BI7" s="1493"/>
      <c r="BJ7" s="1493"/>
      <c r="BK7" s="1493"/>
      <c r="BL7" s="1493"/>
      <c r="BM7" s="1493"/>
      <c r="BN7" s="1493"/>
      <c r="BO7" s="1493"/>
      <c r="BP7" s="1493"/>
      <c r="BQ7" s="1493"/>
      <c r="BR7" s="1493"/>
      <c r="BS7" s="1493"/>
      <c r="BT7" s="1493"/>
      <c r="BU7" s="1493"/>
      <c r="BV7" s="1493"/>
      <c r="BW7" s="1493"/>
      <c r="BX7" s="1493"/>
      <c r="BY7" s="1493"/>
      <c r="BZ7" s="1493"/>
      <c r="CA7" s="1493"/>
      <c r="CB7" s="1493"/>
      <c r="CC7" s="1493"/>
      <c r="CD7" s="1493"/>
      <c r="CE7" s="1493"/>
      <c r="CF7" s="1493"/>
      <c r="CG7" s="1493"/>
      <c r="CH7" s="1493"/>
      <c r="CI7" s="1493"/>
      <c r="CJ7" s="1493"/>
      <c r="CK7" s="1493"/>
      <c r="CL7" s="1493"/>
      <c r="CM7" s="1493"/>
      <c r="CN7" s="1493"/>
      <c r="CO7" s="1493"/>
      <c r="CP7" s="1493"/>
      <c r="CQ7" s="1493"/>
      <c r="CR7" s="1493"/>
      <c r="CS7" s="1493"/>
      <c r="CT7" s="1493"/>
      <c r="CU7" s="1493"/>
      <c r="CV7" s="1493"/>
      <c r="CW7" s="1493"/>
      <c r="CX7" s="1493"/>
      <c r="CY7" s="1493"/>
      <c r="CZ7" s="1493"/>
      <c r="DA7" s="1493"/>
      <c r="DB7" s="1493"/>
      <c r="DC7" s="1493"/>
      <c r="DD7" s="1493"/>
      <c r="DE7" s="1493"/>
      <c r="DF7" s="1493"/>
      <c r="DG7" s="1493"/>
      <c r="DH7" s="1493"/>
      <c r="DI7" s="1493"/>
      <c r="DJ7" s="1493"/>
      <c r="DK7" s="1493"/>
      <c r="DL7" s="1493"/>
      <c r="DM7" s="1493"/>
      <c r="DN7" s="1493"/>
      <c r="DO7" s="1493"/>
      <c r="DP7" s="1493"/>
      <c r="DQ7" s="1493"/>
      <c r="DR7" s="1493"/>
      <c r="DS7" s="1493"/>
      <c r="DT7" s="1493"/>
      <c r="DU7" s="1493"/>
      <c r="DV7" s="1493"/>
      <c r="DW7" s="1493"/>
      <c r="DX7" s="1493"/>
      <c r="DY7" s="1493"/>
      <c r="DZ7" s="1493"/>
      <c r="EA7" s="1493"/>
      <c r="EB7" s="1493"/>
      <c r="EC7" s="1493"/>
      <c r="ED7" s="1493"/>
      <c r="EE7" s="1493"/>
      <c r="EF7" s="1493"/>
      <c r="EG7" s="1493"/>
      <c r="EH7" s="1493"/>
      <c r="EI7" s="1493"/>
      <c r="EJ7" s="1493"/>
      <c r="EK7" s="1493"/>
      <c r="EL7" s="1493"/>
      <c r="EM7" s="1493"/>
      <c r="EN7" s="1493"/>
      <c r="EO7" s="1493"/>
      <c r="EP7" s="1493"/>
      <c r="EQ7" s="1493"/>
      <c r="ER7" s="1493"/>
      <c r="ES7" s="1493"/>
      <c r="ET7" s="1493"/>
      <c r="EU7" s="1493"/>
      <c r="EV7" s="1493"/>
      <c r="EW7" s="1493"/>
      <c r="EX7" s="1493"/>
      <c r="EY7" s="1493"/>
      <c r="EZ7" s="1493"/>
      <c r="FA7" s="1493"/>
      <c r="FB7" s="1493"/>
      <c r="FC7" s="1493"/>
      <c r="FD7" s="1493"/>
      <c r="FE7" s="1493"/>
      <c r="FF7" s="1493"/>
      <c r="FG7" s="1493"/>
      <c r="FH7" s="1493"/>
      <c r="FI7" s="1493"/>
      <c r="FJ7" s="1493"/>
      <c r="FK7" s="1493"/>
      <c r="FL7" s="1493"/>
      <c r="FM7" s="1493"/>
      <c r="FN7" s="1493"/>
      <c r="FO7" s="1493"/>
      <c r="FP7" s="1493"/>
      <c r="FQ7" s="1493"/>
      <c r="FR7" s="1493"/>
      <c r="FS7" s="1493"/>
      <c r="FT7" s="1493"/>
      <c r="FU7" s="1493"/>
      <c r="FV7" s="1493"/>
      <c r="FW7" s="1493"/>
      <c r="FX7" s="1493"/>
      <c r="FY7" s="1493"/>
      <c r="FZ7" s="1493"/>
      <c r="GA7" s="1493"/>
      <c r="GB7" s="1493"/>
      <c r="GC7" s="1493"/>
      <c r="GD7" s="1493"/>
      <c r="GE7" s="1493"/>
      <c r="GF7" s="1493"/>
      <c r="GG7" s="1493"/>
      <c r="GH7" s="1493"/>
      <c r="GI7" s="1493"/>
      <c r="GJ7" s="1493"/>
      <c r="GK7" s="1493"/>
      <c r="GL7" s="1493"/>
      <c r="GM7" s="1493"/>
      <c r="GN7" s="1493"/>
      <c r="GO7" s="1493"/>
      <c r="GP7" s="1493"/>
      <c r="GQ7" s="1493"/>
      <c r="GR7" s="1493"/>
      <c r="GS7" s="1493"/>
      <c r="GT7" s="1493"/>
      <c r="GU7" s="1493"/>
      <c r="GV7" s="1493"/>
      <c r="GW7" s="1493"/>
      <c r="GX7" s="1493"/>
      <c r="GY7" s="1493"/>
      <c r="GZ7" s="1493"/>
      <c r="HA7" s="1493"/>
      <c r="HB7" s="1493"/>
      <c r="HC7" s="1493"/>
      <c r="HD7" s="1493"/>
      <c r="HE7" s="1493"/>
      <c r="HF7" s="1493"/>
      <c r="HG7" s="1493"/>
      <c r="HH7" s="1493"/>
      <c r="HI7" s="1493"/>
      <c r="HJ7" s="1493"/>
      <c r="HK7" s="1493"/>
      <c r="HL7" s="1493"/>
      <c r="HM7" s="1493"/>
      <c r="HN7" s="1493"/>
      <c r="HO7" s="1493"/>
      <c r="HP7" s="1493"/>
      <c r="HQ7" s="1493"/>
      <c r="HR7" s="1493"/>
      <c r="HS7" s="1493"/>
      <c r="HT7" s="1493"/>
      <c r="HU7" s="1493"/>
      <c r="HV7" s="1493"/>
      <c r="HW7" s="1493"/>
      <c r="HX7" s="1493"/>
      <c r="HY7" s="1493"/>
      <c r="HZ7" s="1493"/>
      <c r="IA7" s="1493"/>
      <c r="IB7" s="1493"/>
      <c r="IC7" s="1493"/>
      <c r="ID7" s="1493"/>
      <c r="IE7" s="1493"/>
      <c r="IF7" s="1493"/>
      <c r="IG7" s="1493"/>
      <c r="IH7" s="1493"/>
      <c r="II7" s="1493"/>
      <c r="IJ7" s="1493"/>
      <c r="IK7" s="1493"/>
      <c r="IL7" s="1493"/>
      <c r="IM7" s="1493"/>
      <c r="IN7" s="1493"/>
      <c r="IO7" s="1493"/>
      <c r="IP7" s="1493"/>
      <c r="IQ7" s="1493"/>
      <c r="IR7" s="1493"/>
      <c r="IS7" s="1493"/>
      <c r="IT7" s="1493"/>
      <c r="IU7" s="1493"/>
      <c r="IV7" s="1493"/>
    </row>
    <row r="8" spans="1:256" ht="57" customHeight="1">
      <c r="A8" s="2312" t="s">
        <v>613</v>
      </c>
      <c r="B8" s="2312"/>
      <c r="C8" s="2312"/>
      <c r="D8" s="2312"/>
      <c r="E8" s="2312"/>
      <c r="F8" s="2312"/>
      <c r="G8" s="2312"/>
      <c r="H8" s="2312"/>
      <c r="I8" s="2312"/>
      <c r="J8" s="1493"/>
      <c r="K8" s="1493"/>
      <c r="L8" s="1493"/>
      <c r="M8" s="1493"/>
      <c r="N8" s="1493"/>
      <c r="O8" s="1493"/>
      <c r="P8" s="1493"/>
      <c r="Q8" s="1493"/>
      <c r="R8" s="1493"/>
      <c r="S8" s="1493"/>
      <c r="T8" s="1493"/>
      <c r="U8" s="1493"/>
      <c r="V8" s="1493"/>
      <c r="W8" s="1493"/>
      <c r="X8" s="1493"/>
      <c r="Y8" s="1493"/>
      <c r="Z8" s="1493"/>
      <c r="AA8" s="1493"/>
      <c r="AB8" s="1493"/>
      <c r="AC8" s="1493"/>
      <c r="AD8" s="1493"/>
      <c r="AE8" s="1493"/>
      <c r="AF8" s="1493"/>
      <c r="AG8" s="1493"/>
      <c r="AH8" s="1493"/>
      <c r="AI8" s="1493"/>
      <c r="AJ8" s="1493"/>
      <c r="AK8" s="1493"/>
      <c r="AL8" s="1493"/>
      <c r="AM8" s="1493"/>
      <c r="AN8" s="1493"/>
      <c r="AO8" s="1493"/>
      <c r="AP8" s="1493"/>
      <c r="AQ8" s="1493"/>
      <c r="AR8" s="1493"/>
      <c r="AS8" s="1493"/>
      <c r="AT8" s="1493"/>
      <c r="AU8" s="1493"/>
      <c r="AV8" s="1493"/>
      <c r="AW8" s="1493"/>
      <c r="AX8" s="1493"/>
      <c r="AY8" s="1493"/>
      <c r="AZ8" s="1493"/>
      <c r="BA8" s="1493"/>
      <c r="BB8" s="1493"/>
      <c r="BC8" s="1493"/>
      <c r="BD8" s="1493"/>
      <c r="BE8" s="1493"/>
      <c r="BF8" s="1493"/>
      <c r="BG8" s="1493"/>
      <c r="BH8" s="1493"/>
      <c r="BI8" s="1493"/>
      <c r="BJ8" s="1493"/>
      <c r="BK8" s="1493"/>
      <c r="BL8" s="1493"/>
      <c r="BM8" s="1493"/>
      <c r="BN8" s="1493"/>
      <c r="BO8" s="1493"/>
      <c r="BP8" s="1493"/>
      <c r="BQ8" s="1493"/>
      <c r="BR8" s="1493"/>
      <c r="BS8" s="1493"/>
      <c r="BT8" s="1493"/>
      <c r="BU8" s="1493"/>
      <c r="BV8" s="1493"/>
      <c r="BW8" s="1493"/>
      <c r="BX8" s="1493"/>
      <c r="BY8" s="1493"/>
      <c r="BZ8" s="1493"/>
      <c r="CA8" s="1493"/>
      <c r="CB8" s="1493"/>
      <c r="CC8" s="1493"/>
      <c r="CD8" s="1493"/>
      <c r="CE8" s="1493"/>
      <c r="CF8" s="1493"/>
      <c r="CG8" s="1493"/>
      <c r="CH8" s="1493"/>
      <c r="CI8" s="1493"/>
      <c r="CJ8" s="1493"/>
      <c r="CK8" s="1493"/>
      <c r="CL8" s="1493"/>
      <c r="CM8" s="1493"/>
      <c r="CN8" s="1493"/>
      <c r="CO8" s="1493"/>
      <c r="CP8" s="1493"/>
      <c r="CQ8" s="1493"/>
      <c r="CR8" s="1493"/>
      <c r="CS8" s="1493"/>
      <c r="CT8" s="1493"/>
      <c r="CU8" s="1493"/>
      <c r="CV8" s="1493"/>
      <c r="CW8" s="1493"/>
      <c r="CX8" s="1493"/>
      <c r="CY8" s="1493"/>
      <c r="CZ8" s="1493"/>
      <c r="DA8" s="1493"/>
      <c r="DB8" s="1493"/>
      <c r="DC8" s="1493"/>
      <c r="DD8" s="1493"/>
      <c r="DE8" s="1493"/>
      <c r="DF8" s="1493"/>
      <c r="DG8" s="1493"/>
      <c r="DH8" s="1493"/>
      <c r="DI8" s="1493"/>
      <c r="DJ8" s="1493"/>
      <c r="DK8" s="1493"/>
      <c r="DL8" s="1493"/>
      <c r="DM8" s="1493"/>
      <c r="DN8" s="1493"/>
      <c r="DO8" s="1493"/>
      <c r="DP8" s="1493"/>
      <c r="DQ8" s="1493"/>
      <c r="DR8" s="1493"/>
      <c r="DS8" s="1493"/>
      <c r="DT8" s="1493"/>
      <c r="DU8" s="1493"/>
      <c r="DV8" s="1493"/>
      <c r="DW8" s="1493"/>
      <c r="DX8" s="1493"/>
      <c r="DY8" s="1493"/>
      <c r="DZ8" s="1493"/>
      <c r="EA8" s="1493"/>
      <c r="EB8" s="1493"/>
      <c r="EC8" s="1493"/>
      <c r="ED8" s="1493"/>
      <c r="EE8" s="1493"/>
      <c r="EF8" s="1493"/>
      <c r="EG8" s="1493"/>
      <c r="EH8" s="1493"/>
      <c r="EI8" s="1493"/>
      <c r="EJ8" s="1493"/>
      <c r="EK8" s="1493"/>
      <c r="EL8" s="1493"/>
      <c r="EM8" s="1493"/>
      <c r="EN8" s="1493"/>
      <c r="EO8" s="1493"/>
      <c r="EP8" s="1493"/>
      <c r="EQ8" s="1493"/>
      <c r="ER8" s="1493"/>
      <c r="ES8" s="1493"/>
      <c r="ET8" s="1493"/>
      <c r="EU8" s="1493"/>
      <c r="EV8" s="1493"/>
      <c r="EW8" s="1493"/>
      <c r="EX8" s="1493"/>
      <c r="EY8" s="1493"/>
      <c r="EZ8" s="1493"/>
      <c r="FA8" s="1493"/>
      <c r="FB8" s="1493"/>
      <c r="FC8" s="1493"/>
      <c r="FD8" s="1493"/>
      <c r="FE8" s="1493"/>
      <c r="FF8" s="1493"/>
      <c r="FG8" s="1493"/>
      <c r="FH8" s="1493"/>
      <c r="FI8" s="1493"/>
      <c r="FJ8" s="1493"/>
      <c r="FK8" s="1493"/>
      <c r="FL8" s="1493"/>
      <c r="FM8" s="1493"/>
      <c r="FN8" s="1493"/>
      <c r="FO8" s="1493"/>
      <c r="FP8" s="1493"/>
      <c r="FQ8" s="1493"/>
      <c r="FR8" s="1493"/>
      <c r="FS8" s="1493"/>
      <c r="FT8" s="1493"/>
      <c r="FU8" s="1493"/>
      <c r="FV8" s="1493"/>
      <c r="FW8" s="1493"/>
      <c r="FX8" s="1493"/>
      <c r="FY8" s="1493"/>
      <c r="FZ8" s="1493"/>
      <c r="GA8" s="1493"/>
      <c r="GB8" s="1493"/>
      <c r="GC8" s="1493"/>
      <c r="GD8" s="1493"/>
      <c r="GE8" s="1493"/>
      <c r="GF8" s="1493"/>
      <c r="GG8" s="1493"/>
      <c r="GH8" s="1493"/>
      <c r="GI8" s="1493"/>
      <c r="GJ8" s="1493"/>
      <c r="GK8" s="1493"/>
      <c r="GL8" s="1493"/>
      <c r="GM8" s="1493"/>
      <c r="GN8" s="1493"/>
      <c r="GO8" s="1493"/>
      <c r="GP8" s="1493"/>
      <c r="GQ8" s="1493"/>
      <c r="GR8" s="1493"/>
      <c r="GS8" s="1493"/>
      <c r="GT8" s="1493"/>
      <c r="GU8" s="1493"/>
      <c r="GV8" s="1493"/>
      <c r="GW8" s="1493"/>
      <c r="GX8" s="1493"/>
      <c r="GY8" s="1493"/>
      <c r="GZ8" s="1493"/>
      <c r="HA8" s="1493"/>
      <c r="HB8" s="1493"/>
      <c r="HC8" s="1493"/>
      <c r="HD8" s="1493"/>
      <c r="HE8" s="1493"/>
      <c r="HF8" s="1493"/>
      <c r="HG8" s="1493"/>
      <c r="HH8" s="1493"/>
      <c r="HI8" s="1493"/>
      <c r="HJ8" s="1493"/>
      <c r="HK8" s="1493"/>
      <c r="HL8" s="1493"/>
      <c r="HM8" s="1493"/>
      <c r="HN8" s="1493"/>
      <c r="HO8" s="1493"/>
      <c r="HP8" s="1493"/>
      <c r="HQ8" s="1493"/>
      <c r="HR8" s="1493"/>
      <c r="HS8" s="1493"/>
      <c r="HT8" s="1493"/>
      <c r="HU8" s="1493"/>
      <c r="HV8" s="1493"/>
      <c r="HW8" s="1493"/>
      <c r="HX8" s="1493"/>
      <c r="HY8" s="1493"/>
      <c r="HZ8" s="1493"/>
      <c r="IA8" s="1493"/>
      <c r="IB8" s="1493"/>
      <c r="IC8" s="1493"/>
      <c r="ID8" s="1493"/>
      <c r="IE8" s="1493"/>
      <c r="IF8" s="1493"/>
      <c r="IG8" s="1493"/>
      <c r="IH8" s="1493"/>
      <c r="II8" s="1493"/>
      <c r="IJ8" s="1493"/>
      <c r="IK8" s="1493"/>
      <c r="IL8" s="1493"/>
      <c r="IM8" s="1493"/>
      <c r="IN8" s="1493"/>
      <c r="IO8" s="1493"/>
      <c r="IP8" s="1493"/>
      <c r="IQ8" s="1493"/>
      <c r="IR8" s="1493"/>
      <c r="IS8" s="1493"/>
      <c r="IT8" s="1493"/>
      <c r="IU8" s="1493"/>
      <c r="IV8" s="1493"/>
    </row>
    <row r="9" spans="1:256">
      <c r="B9" s="1495"/>
      <c r="C9" s="1495"/>
      <c r="D9" s="1495"/>
      <c r="E9" s="1495"/>
      <c r="F9" s="1495"/>
      <c r="G9" s="1495"/>
      <c r="H9" s="1495"/>
      <c r="I9" s="1495"/>
      <c r="J9" s="1493"/>
      <c r="K9" s="1493"/>
      <c r="L9" s="1493"/>
      <c r="M9" s="1493"/>
      <c r="N9" s="1493"/>
      <c r="O9" s="1493"/>
      <c r="P9" s="1493"/>
      <c r="Q9" s="1493"/>
      <c r="R9" s="1493"/>
      <c r="S9" s="1493"/>
      <c r="T9" s="1493"/>
      <c r="U9" s="1493"/>
      <c r="V9" s="1493"/>
      <c r="W9" s="1493"/>
      <c r="X9" s="1493"/>
      <c r="Y9" s="1493"/>
      <c r="Z9" s="1493"/>
      <c r="AA9" s="1493"/>
      <c r="AB9" s="1493"/>
      <c r="AC9" s="1493"/>
      <c r="AD9" s="1493"/>
      <c r="AE9" s="1493"/>
      <c r="AF9" s="1493"/>
      <c r="AG9" s="1493"/>
      <c r="AH9" s="1493"/>
      <c r="AI9" s="1493"/>
      <c r="AJ9" s="1493"/>
      <c r="AK9" s="1493"/>
      <c r="AL9" s="1493"/>
      <c r="AM9" s="1493"/>
      <c r="AN9" s="1493"/>
      <c r="AO9" s="1493"/>
      <c r="AP9" s="1493"/>
      <c r="AQ9" s="1493"/>
      <c r="AR9" s="1493"/>
      <c r="AS9" s="1493"/>
      <c r="AT9" s="1493"/>
      <c r="AU9" s="1493"/>
      <c r="AV9" s="1493"/>
      <c r="AW9" s="1493"/>
      <c r="AX9" s="1493"/>
      <c r="AY9" s="1493"/>
      <c r="AZ9" s="1493"/>
      <c r="BA9" s="1493"/>
      <c r="BB9" s="1493"/>
      <c r="BC9" s="1493"/>
      <c r="BD9" s="1493"/>
      <c r="BE9" s="1493"/>
      <c r="BF9" s="1493"/>
      <c r="BG9" s="1493"/>
      <c r="BH9" s="1493"/>
      <c r="BI9" s="1493"/>
      <c r="BJ9" s="1493"/>
      <c r="BK9" s="1493"/>
      <c r="BL9" s="1493"/>
      <c r="BM9" s="1493"/>
      <c r="BN9" s="1493"/>
      <c r="BO9" s="1493"/>
      <c r="BP9" s="1493"/>
      <c r="BQ9" s="1493"/>
      <c r="BR9" s="1493"/>
      <c r="BS9" s="1493"/>
      <c r="BT9" s="1493"/>
      <c r="BU9" s="1493"/>
      <c r="BV9" s="1493"/>
      <c r="BW9" s="1493"/>
      <c r="BX9" s="1493"/>
      <c r="BY9" s="1493"/>
      <c r="BZ9" s="1493"/>
      <c r="CA9" s="1493"/>
      <c r="CB9" s="1493"/>
      <c r="CC9" s="1493"/>
      <c r="CD9" s="1493"/>
      <c r="CE9" s="1493"/>
      <c r="CF9" s="1493"/>
      <c r="CG9" s="1493"/>
      <c r="CH9" s="1493"/>
      <c r="CI9" s="1493"/>
      <c r="CJ9" s="1493"/>
      <c r="CK9" s="1493"/>
      <c r="CL9" s="1493"/>
      <c r="CM9" s="1493"/>
      <c r="CN9" s="1493"/>
      <c r="CO9" s="1493"/>
      <c r="CP9" s="1493"/>
      <c r="CQ9" s="1493"/>
      <c r="CR9" s="1493"/>
      <c r="CS9" s="1493"/>
      <c r="CT9" s="1493"/>
      <c r="CU9" s="1493"/>
      <c r="CV9" s="1493"/>
      <c r="CW9" s="1493"/>
      <c r="CX9" s="1493"/>
      <c r="CY9" s="1493"/>
      <c r="CZ9" s="1493"/>
      <c r="DA9" s="1493"/>
      <c r="DB9" s="1493"/>
      <c r="DC9" s="1493"/>
      <c r="DD9" s="1493"/>
      <c r="DE9" s="1493"/>
      <c r="DF9" s="1493"/>
      <c r="DG9" s="1493"/>
      <c r="DH9" s="1493"/>
      <c r="DI9" s="1493"/>
      <c r="DJ9" s="1493"/>
      <c r="DK9" s="1493"/>
      <c r="DL9" s="1493"/>
      <c r="DM9" s="1493"/>
      <c r="DN9" s="1493"/>
      <c r="DO9" s="1493"/>
      <c r="DP9" s="1493"/>
      <c r="DQ9" s="1493"/>
      <c r="DR9" s="1493"/>
      <c r="DS9" s="1493"/>
      <c r="DT9" s="1493"/>
      <c r="DU9" s="1493"/>
      <c r="DV9" s="1493"/>
      <c r="DW9" s="1493"/>
      <c r="DX9" s="1493"/>
      <c r="DY9" s="1493"/>
      <c r="DZ9" s="1493"/>
      <c r="EA9" s="1493"/>
      <c r="EB9" s="1493"/>
      <c r="EC9" s="1493"/>
      <c r="ED9" s="1493"/>
      <c r="EE9" s="1493"/>
      <c r="EF9" s="1493"/>
      <c r="EG9" s="1493"/>
      <c r="EH9" s="1493"/>
      <c r="EI9" s="1493"/>
      <c r="EJ9" s="1493"/>
      <c r="EK9" s="1493"/>
      <c r="EL9" s="1493"/>
      <c r="EM9" s="1493"/>
      <c r="EN9" s="1493"/>
      <c r="EO9" s="1493"/>
      <c r="EP9" s="1493"/>
      <c r="EQ9" s="1493"/>
      <c r="ER9" s="1493"/>
      <c r="ES9" s="1493"/>
      <c r="ET9" s="1493"/>
      <c r="EU9" s="1493"/>
      <c r="EV9" s="1493"/>
      <c r="EW9" s="1493"/>
      <c r="EX9" s="1493"/>
      <c r="EY9" s="1493"/>
      <c r="EZ9" s="1493"/>
      <c r="FA9" s="1493"/>
      <c r="FB9" s="1493"/>
      <c r="FC9" s="1493"/>
      <c r="FD9" s="1493"/>
      <c r="FE9" s="1493"/>
      <c r="FF9" s="1493"/>
      <c r="FG9" s="1493"/>
      <c r="FH9" s="1493"/>
      <c r="FI9" s="1493"/>
      <c r="FJ9" s="1493"/>
      <c r="FK9" s="1493"/>
      <c r="FL9" s="1493"/>
      <c r="FM9" s="1493"/>
      <c r="FN9" s="1493"/>
      <c r="FO9" s="1493"/>
      <c r="FP9" s="1493"/>
      <c r="FQ9" s="1493"/>
      <c r="FR9" s="1493"/>
      <c r="FS9" s="1493"/>
      <c r="FT9" s="1493"/>
      <c r="FU9" s="1493"/>
      <c r="FV9" s="1493"/>
      <c r="FW9" s="1493"/>
      <c r="FX9" s="1493"/>
      <c r="FY9" s="1493"/>
      <c r="FZ9" s="1493"/>
      <c r="GA9" s="1493"/>
      <c r="GB9" s="1493"/>
      <c r="GC9" s="1493"/>
      <c r="GD9" s="1493"/>
      <c r="GE9" s="1493"/>
      <c r="GF9" s="1493"/>
      <c r="GG9" s="1493"/>
      <c r="GH9" s="1493"/>
      <c r="GI9" s="1493"/>
      <c r="GJ9" s="1493"/>
      <c r="GK9" s="1493"/>
      <c r="GL9" s="1493"/>
      <c r="GM9" s="1493"/>
      <c r="GN9" s="1493"/>
      <c r="GO9" s="1493"/>
      <c r="GP9" s="1493"/>
      <c r="GQ9" s="1493"/>
      <c r="GR9" s="1493"/>
      <c r="GS9" s="1493"/>
      <c r="GT9" s="1493"/>
      <c r="GU9" s="1493"/>
      <c r="GV9" s="1493"/>
      <c r="GW9" s="1493"/>
      <c r="GX9" s="1493"/>
      <c r="GY9" s="1493"/>
      <c r="GZ9" s="1493"/>
      <c r="HA9" s="1493"/>
      <c r="HB9" s="1493"/>
      <c r="HC9" s="1493"/>
      <c r="HD9" s="1493"/>
      <c r="HE9" s="1493"/>
      <c r="HF9" s="1493"/>
      <c r="HG9" s="1493"/>
      <c r="HH9" s="1493"/>
      <c r="HI9" s="1493"/>
      <c r="HJ9" s="1493"/>
      <c r="HK9" s="1493"/>
      <c r="HL9" s="1493"/>
      <c r="HM9" s="1493"/>
      <c r="HN9" s="1493"/>
      <c r="HO9" s="1493"/>
      <c r="HP9" s="1493"/>
      <c r="HQ9" s="1493"/>
      <c r="HR9" s="1493"/>
      <c r="HS9" s="1493"/>
      <c r="HT9" s="1493"/>
      <c r="HU9" s="1493"/>
      <c r="HV9" s="1493"/>
      <c r="HW9" s="1493"/>
      <c r="HX9" s="1493"/>
      <c r="HY9" s="1493"/>
      <c r="HZ9" s="1493"/>
      <c r="IA9" s="1493"/>
      <c r="IB9" s="1493"/>
      <c r="IC9" s="1493"/>
      <c r="ID9" s="1493"/>
      <c r="IE9" s="1493"/>
      <c r="IF9" s="1493"/>
      <c r="IG9" s="1493"/>
      <c r="IH9" s="1493"/>
      <c r="II9" s="1493"/>
      <c r="IJ9" s="1493"/>
      <c r="IK9" s="1493"/>
      <c r="IL9" s="1493"/>
      <c r="IM9" s="1493"/>
      <c r="IN9" s="1493"/>
      <c r="IO9" s="1493"/>
      <c r="IP9" s="1493"/>
      <c r="IQ9" s="1493"/>
      <c r="IR9" s="1493"/>
      <c r="IS9" s="1493"/>
      <c r="IT9" s="1493"/>
      <c r="IU9" s="1493"/>
      <c r="IV9" s="1493"/>
    </row>
    <row r="10" spans="1:256">
      <c r="A10" s="1496" t="s">
        <v>612</v>
      </c>
      <c r="B10" s="1495"/>
      <c r="C10" s="1493"/>
      <c r="D10" s="1495"/>
      <c r="E10" s="2308" t="s">
        <v>342</v>
      </c>
      <c r="F10" s="2308"/>
      <c r="G10" s="1495"/>
      <c r="H10" s="1495"/>
      <c r="I10" s="1495"/>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c r="AU10" s="1493"/>
      <c r="AV10" s="1493"/>
      <c r="AW10" s="1493"/>
      <c r="AX10" s="1493"/>
      <c r="AY10" s="1493"/>
      <c r="AZ10" s="1493"/>
      <c r="BA10" s="1493"/>
      <c r="BB10" s="1493"/>
      <c r="BC10" s="1493"/>
      <c r="BD10" s="1493"/>
      <c r="BE10" s="1493"/>
      <c r="BF10" s="1493"/>
      <c r="BG10" s="1493"/>
      <c r="BH10" s="1493"/>
      <c r="BI10" s="1493"/>
      <c r="BJ10" s="1493"/>
      <c r="BK10" s="1493"/>
      <c r="BL10" s="1493"/>
      <c r="BM10" s="1493"/>
      <c r="BN10" s="1493"/>
      <c r="BO10" s="1493"/>
      <c r="BP10" s="1493"/>
      <c r="BQ10" s="1493"/>
      <c r="BR10" s="1493"/>
      <c r="BS10" s="1493"/>
      <c r="BT10" s="1493"/>
      <c r="BU10" s="1493"/>
      <c r="BV10" s="1493"/>
      <c r="BW10" s="1493"/>
      <c r="BX10" s="1493"/>
      <c r="BY10" s="1493"/>
      <c r="BZ10" s="1493"/>
      <c r="CA10" s="1493"/>
      <c r="CB10" s="1493"/>
      <c r="CC10" s="1493"/>
      <c r="CD10" s="1493"/>
      <c r="CE10" s="1493"/>
      <c r="CF10" s="1493"/>
      <c r="CG10" s="1493"/>
      <c r="CH10" s="1493"/>
      <c r="CI10" s="1493"/>
      <c r="CJ10" s="1493"/>
      <c r="CK10" s="1493"/>
      <c r="CL10" s="1493"/>
      <c r="CM10" s="1493"/>
      <c r="CN10" s="1493"/>
      <c r="CO10" s="1493"/>
      <c r="CP10" s="1493"/>
      <c r="CQ10" s="1493"/>
      <c r="CR10" s="1493"/>
      <c r="CS10" s="1493"/>
      <c r="CT10" s="1493"/>
      <c r="CU10" s="1493"/>
      <c r="CV10" s="1493"/>
      <c r="CW10" s="1493"/>
      <c r="CX10" s="1493"/>
      <c r="CY10" s="1493"/>
      <c r="CZ10" s="1493"/>
      <c r="DA10" s="1493"/>
      <c r="DB10" s="1493"/>
      <c r="DC10" s="1493"/>
      <c r="DD10" s="1493"/>
      <c r="DE10" s="1493"/>
      <c r="DF10" s="1493"/>
      <c r="DG10" s="1493"/>
      <c r="DH10" s="1493"/>
      <c r="DI10" s="1493"/>
      <c r="DJ10" s="1493"/>
      <c r="DK10" s="1493"/>
      <c r="DL10" s="1493"/>
      <c r="DM10" s="1493"/>
      <c r="DN10" s="1493"/>
      <c r="DO10" s="1493"/>
      <c r="DP10" s="1493"/>
      <c r="DQ10" s="1493"/>
      <c r="DR10" s="1493"/>
      <c r="DS10" s="1493"/>
      <c r="DT10" s="1493"/>
      <c r="DU10" s="1493"/>
      <c r="DV10" s="1493"/>
      <c r="DW10" s="1493"/>
      <c r="DX10" s="1493"/>
      <c r="DY10" s="1493"/>
      <c r="DZ10" s="1493"/>
      <c r="EA10" s="1493"/>
      <c r="EB10" s="1493"/>
      <c r="EC10" s="1493"/>
      <c r="ED10" s="1493"/>
      <c r="EE10" s="1493"/>
      <c r="EF10" s="1493"/>
      <c r="EG10" s="1493"/>
      <c r="EH10" s="1493"/>
      <c r="EI10" s="1493"/>
      <c r="EJ10" s="1493"/>
      <c r="EK10" s="1493"/>
      <c r="EL10" s="1493"/>
      <c r="EM10" s="1493"/>
      <c r="EN10" s="1493"/>
      <c r="EO10" s="1493"/>
      <c r="EP10" s="1493"/>
      <c r="EQ10" s="1493"/>
      <c r="ER10" s="1493"/>
      <c r="ES10" s="1493"/>
      <c r="ET10" s="1493"/>
      <c r="EU10" s="1493"/>
      <c r="EV10" s="1493"/>
      <c r="EW10" s="1493"/>
      <c r="EX10" s="1493"/>
      <c r="EY10" s="1493"/>
      <c r="EZ10" s="1493"/>
      <c r="FA10" s="1493"/>
      <c r="FB10" s="1493"/>
      <c r="FC10" s="1493"/>
      <c r="FD10" s="1493"/>
      <c r="FE10" s="1493"/>
      <c r="FF10" s="1493"/>
      <c r="FG10" s="1493"/>
      <c r="FH10" s="1493"/>
      <c r="FI10" s="1493"/>
      <c r="FJ10" s="1493"/>
      <c r="FK10" s="1493"/>
      <c r="FL10" s="1493"/>
      <c r="FM10" s="1493"/>
      <c r="FN10" s="1493"/>
      <c r="FO10" s="1493"/>
      <c r="FP10" s="1493"/>
      <c r="FQ10" s="1493"/>
      <c r="FR10" s="1493"/>
      <c r="FS10" s="1493"/>
      <c r="FT10" s="1493"/>
      <c r="FU10" s="1493"/>
      <c r="FV10" s="1493"/>
      <c r="FW10" s="1493"/>
      <c r="FX10" s="1493"/>
      <c r="FY10" s="1493"/>
      <c r="FZ10" s="1493"/>
      <c r="GA10" s="1493"/>
      <c r="GB10" s="1493"/>
      <c r="GC10" s="1493"/>
      <c r="GD10" s="1493"/>
      <c r="GE10" s="1493"/>
      <c r="GF10" s="1493"/>
      <c r="GG10" s="1493"/>
      <c r="GH10" s="1493"/>
      <c r="GI10" s="1493"/>
      <c r="GJ10" s="1493"/>
      <c r="GK10" s="1493"/>
      <c r="GL10" s="1493"/>
      <c r="GM10" s="1493"/>
      <c r="GN10" s="1493"/>
      <c r="GO10" s="1493"/>
      <c r="GP10" s="1493"/>
      <c r="GQ10" s="1493"/>
      <c r="GR10" s="1493"/>
      <c r="GS10" s="1493"/>
      <c r="GT10" s="1493"/>
      <c r="GU10" s="1493"/>
      <c r="GV10" s="1493"/>
      <c r="GW10" s="1493"/>
      <c r="GX10" s="1493"/>
      <c r="GY10" s="1493"/>
      <c r="GZ10" s="1493"/>
      <c r="HA10" s="1493"/>
      <c r="HB10" s="1493"/>
      <c r="HC10" s="1493"/>
      <c r="HD10" s="1493"/>
      <c r="HE10" s="1493"/>
      <c r="HF10" s="1493"/>
      <c r="HG10" s="1493"/>
      <c r="HH10" s="1493"/>
      <c r="HI10" s="1493"/>
      <c r="HJ10" s="1493"/>
      <c r="HK10" s="1493"/>
      <c r="HL10" s="1493"/>
      <c r="HM10" s="1493"/>
      <c r="HN10" s="1493"/>
      <c r="HO10" s="1493"/>
      <c r="HP10" s="1493"/>
      <c r="HQ10" s="1493"/>
      <c r="HR10" s="1493"/>
      <c r="HS10" s="1493"/>
      <c r="HT10" s="1493"/>
      <c r="HU10" s="1493"/>
      <c r="HV10" s="1493"/>
      <c r="HW10" s="1493"/>
      <c r="HX10" s="1493"/>
      <c r="HY10" s="1493"/>
      <c r="HZ10" s="1493"/>
      <c r="IA10" s="1493"/>
      <c r="IB10" s="1493"/>
      <c r="IC10" s="1493"/>
      <c r="ID10" s="1493"/>
      <c r="IE10" s="1493"/>
      <c r="IF10" s="1493"/>
      <c r="IG10" s="1493"/>
      <c r="IH10" s="1493"/>
      <c r="II10" s="1493"/>
      <c r="IJ10" s="1493"/>
      <c r="IK10" s="1493"/>
      <c r="IL10" s="1493"/>
      <c r="IM10" s="1493"/>
      <c r="IN10" s="1493"/>
      <c r="IO10" s="1493"/>
      <c r="IP10" s="1493"/>
      <c r="IQ10" s="1493"/>
      <c r="IR10" s="1493"/>
      <c r="IS10" s="1493"/>
      <c r="IT10" s="1493"/>
      <c r="IU10" s="1493"/>
      <c r="IV10" s="1493"/>
    </row>
    <row r="11" spans="1:256">
      <c r="A11" s="1497">
        <v>1</v>
      </c>
      <c r="B11" s="1498" t="s">
        <v>878</v>
      </c>
      <c r="C11" s="1498"/>
      <c r="D11" s="1498"/>
      <c r="E11" s="1498" t="s">
        <v>521</v>
      </c>
      <c r="F11" s="1495"/>
      <c r="G11" s="1493"/>
      <c r="H11" s="443">
        <f>+'SWT WS C-1 ADIT EOY'!H17*0</f>
        <v>0</v>
      </c>
      <c r="I11" s="1495"/>
      <c r="J11" s="1493"/>
      <c r="K11" s="1493"/>
      <c r="L11" s="1493"/>
      <c r="M11" s="1493"/>
      <c r="N11" s="1493"/>
      <c r="O11" s="1493"/>
      <c r="P11" s="1493"/>
      <c r="Q11" s="1493"/>
      <c r="R11" s="1493"/>
      <c r="S11" s="1493"/>
      <c r="T11" s="1493"/>
      <c r="U11" s="1493"/>
      <c r="V11" s="1493"/>
      <c r="W11" s="1493"/>
      <c r="X11" s="1493"/>
      <c r="Y11" s="1493"/>
      <c r="Z11" s="1493"/>
      <c r="AA11" s="1493"/>
      <c r="AB11" s="1493"/>
      <c r="AC11" s="1493"/>
      <c r="AD11" s="1493"/>
      <c r="AE11" s="1493"/>
      <c r="AF11" s="1493"/>
      <c r="AG11" s="1493"/>
      <c r="AH11" s="1493"/>
      <c r="AI11" s="1493"/>
      <c r="AJ11" s="1493"/>
      <c r="AK11" s="1493"/>
      <c r="AL11" s="1493"/>
      <c r="AM11" s="1493"/>
      <c r="AN11" s="1493"/>
      <c r="AO11" s="1493"/>
      <c r="AP11" s="1493"/>
      <c r="AQ11" s="1493"/>
      <c r="AR11" s="1493"/>
      <c r="AS11" s="1493"/>
      <c r="AT11" s="1493"/>
      <c r="AU11" s="1493"/>
      <c r="AV11" s="1493"/>
      <c r="AW11" s="1493"/>
      <c r="AX11" s="1493"/>
      <c r="AY11" s="1493"/>
      <c r="AZ11" s="1493"/>
      <c r="BA11" s="1493"/>
      <c r="BB11" s="1493"/>
      <c r="BC11" s="1493"/>
      <c r="BD11" s="1493"/>
      <c r="BE11" s="1493"/>
      <c r="BF11" s="1493"/>
      <c r="BG11" s="1493"/>
      <c r="BH11" s="1493"/>
      <c r="BI11" s="1493"/>
      <c r="BJ11" s="1493"/>
      <c r="BK11" s="1493"/>
      <c r="BL11" s="1493"/>
      <c r="BM11" s="1493"/>
      <c r="BN11" s="1493"/>
      <c r="BO11" s="1493"/>
      <c r="BP11" s="1493"/>
      <c r="BQ11" s="1493"/>
      <c r="BR11" s="1493"/>
      <c r="BS11" s="1493"/>
      <c r="BT11" s="1493"/>
      <c r="BU11" s="1493"/>
      <c r="BV11" s="1493"/>
      <c r="BW11" s="1493"/>
      <c r="BX11" s="1493"/>
      <c r="BY11" s="1493"/>
      <c r="BZ11" s="1493"/>
      <c r="CA11" s="1493"/>
      <c r="CB11" s="1493"/>
      <c r="CC11" s="1493"/>
      <c r="CD11" s="1493"/>
      <c r="CE11" s="1493"/>
      <c r="CF11" s="1493"/>
      <c r="CG11" s="1493"/>
      <c r="CH11" s="1493"/>
      <c r="CI11" s="1493"/>
      <c r="CJ11" s="1493"/>
      <c r="CK11" s="1493"/>
      <c r="CL11" s="1493"/>
      <c r="CM11" s="1493"/>
      <c r="CN11" s="1493"/>
      <c r="CO11" s="1493"/>
      <c r="CP11" s="1493"/>
      <c r="CQ11" s="1493"/>
      <c r="CR11" s="1493"/>
      <c r="CS11" s="1493"/>
      <c r="CT11" s="1493"/>
      <c r="CU11" s="1493"/>
      <c r="CV11" s="1493"/>
      <c r="CW11" s="1493"/>
      <c r="CX11" s="1493"/>
      <c r="CY11" s="1493"/>
      <c r="CZ11" s="1493"/>
      <c r="DA11" s="1493"/>
      <c r="DB11" s="1493"/>
      <c r="DC11" s="1493"/>
      <c r="DD11" s="1493"/>
      <c r="DE11" s="1493"/>
      <c r="DF11" s="1493"/>
      <c r="DG11" s="1493"/>
      <c r="DH11" s="1493"/>
      <c r="DI11" s="1493"/>
      <c r="DJ11" s="1493"/>
      <c r="DK11" s="1493"/>
      <c r="DL11" s="1493"/>
      <c r="DM11" s="1493"/>
      <c r="DN11" s="1493"/>
      <c r="DO11" s="1493"/>
      <c r="DP11" s="1493"/>
      <c r="DQ11" s="1493"/>
      <c r="DR11" s="1493"/>
      <c r="DS11" s="1493"/>
      <c r="DT11" s="1493"/>
      <c r="DU11" s="1493"/>
      <c r="DV11" s="1493"/>
      <c r="DW11" s="1493"/>
      <c r="DX11" s="1493"/>
      <c r="DY11" s="1493"/>
      <c r="DZ11" s="1493"/>
      <c r="EA11" s="1493"/>
      <c r="EB11" s="1493"/>
      <c r="EC11" s="1493"/>
      <c r="ED11" s="1493"/>
      <c r="EE11" s="1493"/>
      <c r="EF11" s="1493"/>
      <c r="EG11" s="1493"/>
      <c r="EH11" s="1493"/>
      <c r="EI11" s="1493"/>
      <c r="EJ11" s="1493"/>
      <c r="EK11" s="1493"/>
      <c r="EL11" s="1493"/>
      <c r="EM11" s="1493"/>
      <c r="EN11" s="1493"/>
      <c r="EO11" s="1493"/>
      <c r="EP11" s="1493"/>
      <c r="EQ11" s="1493"/>
      <c r="ER11" s="1493"/>
      <c r="ES11" s="1493"/>
      <c r="ET11" s="1493"/>
      <c r="EU11" s="1493"/>
      <c r="EV11" s="1493"/>
      <c r="EW11" s="1493"/>
      <c r="EX11" s="1493"/>
      <c r="EY11" s="1493"/>
      <c r="EZ11" s="1493"/>
      <c r="FA11" s="1493"/>
      <c r="FB11" s="1493"/>
      <c r="FC11" s="1493"/>
      <c r="FD11" s="1493"/>
      <c r="FE11" s="1493"/>
      <c r="FF11" s="1493"/>
      <c r="FG11" s="1493"/>
      <c r="FH11" s="1493"/>
      <c r="FI11" s="1493"/>
      <c r="FJ11" s="1493"/>
      <c r="FK11" s="1493"/>
      <c r="FL11" s="1493"/>
      <c r="FM11" s="1493"/>
      <c r="FN11" s="1493"/>
      <c r="FO11" s="1493"/>
      <c r="FP11" s="1493"/>
      <c r="FQ11" s="1493"/>
      <c r="FR11" s="1493"/>
      <c r="FS11" s="1493"/>
      <c r="FT11" s="1493"/>
      <c r="FU11" s="1493"/>
      <c r="FV11" s="1493"/>
      <c r="FW11" s="1493"/>
      <c r="FX11" s="1493"/>
      <c r="FY11" s="1493"/>
      <c r="FZ11" s="1493"/>
      <c r="GA11" s="1493"/>
      <c r="GB11" s="1493"/>
      <c r="GC11" s="1493"/>
      <c r="GD11" s="1493"/>
      <c r="GE11" s="1493"/>
      <c r="GF11" s="1493"/>
      <c r="GG11" s="1493"/>
      <c r="GH11" s="1493"/>
      <c r="GI11" s="1493"/>
      <c r="GJ11" s="1493"/>
      <c r="GK11" s="1493"/>
      <c r="GL11" s="1493"/>
      <c r="GM11" s="1493"/>
      <c r="GN11" s="1493"/>
      <c r="GO11" s="1493"/>
      <c r="GP11" s="1493"/>
      <c r="GQ11" s="1493"/>
      <c r="GR11" s="1493"/>
      <c r="GS11" s="1493"/>
      <c r="GT11" s="1493"/>
      <c r="GU11" s="1493"/>
      <c r="GV11" s="1493"/>
      <c r="GW11" s="1493"/>
      <c r="GX11" s="1493"/>
      <c r="GY11" s="1493"/>
      <c r="GZ11" s="1493"/>
      <c r="HA11" s="1493"/>
      <c r="HB11" s="1493"/>
      <c r="HC11" s="1493"/>
      <c r="HD11" s="1493"/>
      <c r="HE11" s="1493"/>
      <c r="HF11" s="1493"/>
      <c r="HG11" s="1493"/>
      <c r="HH11" s="1493"/>
      <c r="HI11" s="1493"/>
      <c r="HJ11" s="1493"/>
      <c r="HK11" s="1493"/>
      <c r="HL11" s="1493"/>
      <c r="HM11" s="1493"/>
      <c r="HN11" s="1493"/>
      <c r="HO11" s="1493"/>
      <c r="HP11" s="1493"/>
      <c r="HQ11" s="1493"/>
      <c r="HR11" s="1493"/>
      <c r="HS11" s="1493"/>
      <c r="HT11" s="1493"/>
      <c r="HU11" s="1493"/>
      <c r="HV11" s="1493"/>
      <c r="HW11" s="1493"/>
      <c r="HX11" s="1493"/>
      <c r="HY11" s="1493"/>
      <c r="HZ11" s="1493"/>
      <c r="IA11" s="1493"/>
      <c r="IB11" s="1493"/>
      <c r="IC11" s="1493"/>
      <c r="ID11" s="1493"/>
      <c r="IE11" s="1493"/>
      <c r="IF11" s="1493"/>
      <c r="IG11" s="1493"/>
      <c r="IH11" s="1493"/>
      <c r="II11" s="1493"/>
      <c r="IJ11" s="1493"/>
      <c r="IK11" s="1493"/>
      <c r="IL11" s="1493"/>
      <c r="IM11" s="1493"/>
      <c r="IN11" s="1493"/>
      <c r="IO11" s="1493"/>
      <c r="IP11" s="1493"/>
      <c r="IQ11" s="1493"/>
      <c r="IR11" s="1493"/>
      <c r="IS11" s="1493"/>
      <c r="IT11" s="1493"/>
      <c r="IU11" s="1493"/>
      <c r="IV11" s="1493"/>
    </row>
    <row r="12" spans="1:256">
      <c r="A12" s="1497">
        <f>+A11+1</f>
        <v>2</v>
      </c>
      <c r="B12" s="1498" t="s">
        <v>879</v>
      </c>
      <c r="C12" s="1498"/>
      <c r="D12" s="1498"/>
      <c r="E12" s="1498" t="s">
        <v>522</v>
      </c>
      <c r="F12" s="1495"/>
      <c r="G12" s="1493"/>
      <c r="H12" s="443">
        <f>+'SWT WS C-2 ADIT BOY'!H18*0</f>
        <v>0</v>
      </c>
      <c r="I12" s="1495"/>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1493"/>
      <c r="AN12" s="1493"/>
      <c r="AO12" s="1493"/>
      <c r="AP12" s="1493"/>
      <c r="AQ12" s="1493"/>
      <c r="AR12" s="1493"/>
      <c r="AS12" s="1493"/>
      <c r="AT12" s="1493"/>
      <c r="AU12" s="1493"/>
      <c r="AV12" s="1493"/>
      <c r="AW12" s="1493"/>
      <c r="AX12" s="1493"/>
      <c r="AY12" s="1493"/>
      <c r="AZ12" s="1493"/>
      <c r="BA12" s="1493"/>
      <c r="BB12" s="1493"/>
      <c r="BC12" s="1493"/>
      <c r="BD12" s="1493"/>
      <c r="BE12" s="1493"/>
      <c r="BF12" s="1493"/>
      <c r="BG12" s="1493"/>
      <c r="BH12" s="1493"/>
      <c r="BI12" s="1493"/>
      <c r="BJ12" s="1493"/>
      <c r="BK12" s="1493"/>
      <c r="BL12" s="1493"/>
      <c r="BM12" s="1493"/>
      <c r="BN12" s="1493"/>
      <c r="BO12" s="1493"/>
      <c r="BP12" s="1493"/>
      <c r="BQ12" s="1493"/>
      <c r="BR12" s="1493"/>
      <c r="BS12" s="1493"/>
      <c r="BT12" s="1493"/>
      <c r="BU12" s="1493"/>
      <c r="BV12" s="1493"/>
      <c r="BW12" s="1493"/>
      <c r="BX12" s="1493"/>
      <c r="BY12" s="1493"/>
      <c r="BZ12" s="1493"/>
      <c r="CA12" s="1493"/>
      <c r="CB12" s="1493"/>
      <c r="CC12" s="1493"/>
      <c r="CD12" s="1493"/>
      <c r="CE12" s="1493"/>
      <c r="CF12" s="1493"/>
      <c r="CG12" s="1493"/>
      <c r="CH12" s="1493"/>
      <c r="CI12" s="1493"/>
      <c r="CJ12" s="1493"/>
      <c r="CK12" s="1493"/>
      <c r="CL12" s="1493"/>
      <c r="CM12" s="1493"/>
      <c r="CN12" s="1493"/>
      <c r="CO12" s="1493"/>
      <c r="CP12" s="1493"/>
      <c r="CQ12" s="1493"/>
      <c r="CR12" s="1493"/>
      <c r="CS12" s="1493"/>
      <c r="CT12" s="1493"/>
      <c r="CU12" s="1493"/>
      <c r="CV12" s="1493"/>
      <c r="CW12" s="1493"/>
      <c r="CX12" s="1493"/>
      <c r="CY12" s="1493"/>
      <c r="CZ12" s="1493"/>
      <c r="DA12" s="1493"/>
      <c r="DB12" s="1493"/>
      <c r="DC12" s="1493"/>
      <c r="DD12" s="1493"/>
      <c r="DE12" s="1493"/>
      <c r="DF12" s="1493"/>
      <c r="DG12" s="1493"/>
      <c r="DH12" s="1493"/>
      <c r="DI12" s="1493"/>
      <c r="DJ12" s="1493"/>
      <c r="DK12" s="1493"/>
      <c r="DL12" s="1493"/>
      <c r="DM12" s="1493"/>
      <c r="DN12" s="1493"/>
      <c r="DO12" s="1493"/>
      <c r="DP12" s="1493"/>
      <c r="DQ12" s="1493"/>
      <c r="DR12" s="1493"/>
      <c r="DS12" s="1493"/>
      <c r="DT12" s="1493"/>
      <c r="DU12" s="1493"/>
      <c r="DV12" s="1493"/>
      <c r="DW12" s="1493"/>
      <c r="DX12" s="1493"/>
      <c r="DY12" s="1493"/>
      <c r="DZ12" s="1493"/>
      <c r="EA12" s="1493"/>
      <c r="EB12" s="1493"/>
      <c r="EC12" s="1493"/>
      <c r="ED12" s="1493"/>
      <c r="EE12" s="1493"/>
      <c r="EF12" s="1493"/>
      <c r="EG12" s="1493"/>
      <c r="EH12" s="1493"/>
      <c r="EI12" s="1493"/>
      <c r="EJ12" s="1493"/>
      <c r="EK12" s="1493"/>
      <c r="EL12" s="1493"/>
      <c r="EM12" s="1493"/>
      <c r="EN12" s="1493"/>
      <c r="EO12" s="1493"/>
      <c r="EP12" s="1493"/>
      <c r="EQ12" s="1493"/>
      <c r="ER12" s="1493"/>
      <c r="ES12" s="1493"/>
      <c r="ET12" s="1493"/>
      <c r="EU12" s="1493"/>
      <c r="EV12" s="1493"/>
      <c r="EW12" s="1493"/>
      <c r="EX12" s="1493"/>
      <c r="EY12" s="1493"/>
      <c r="EZ12" s="1493"/>
      <c r="FA12" s="1493"/>
      <c r="FB12" s="1493"/>
      <c r="FC12" s="1493"/>
      <c r="FD12" s="1493"/>
      <c r="FE12" s="1493"/>
      <c r="FF12" s="1493"/>
      <c r="FG12" s="1493"/>
      <c r="FH12" s="1493"/>
      <c r="FI12" s="1493"/>
      <c r="FJ12" s="1493"/>
      <c r="FK12" s="1493"/>
      <c r="FL12" s="1493"/>
      <c r="FM12" s="1493"/>
      <c r="FN12" s="1493"/>
      <c r="FO12" s="1493"/>
      <c r="FP12" s="1493"/>
      <c r="FQ12" s="1493"/>
      <c r="FR12" s="1493"/>
      <c r="FS12" s="1493"/>
      <c r="FT12" s="1493"/>
      <c r="FU12" s="1493"/>
      <c r="FV12" s="1493"/>
      <c r="FW12" s="1493"/>
      <c r="FX12" s="1493"/>
      <c r="FY12" s="1493"/>
      <c r="FZ12" s="1493"/>
      <c r="GA12" s="1493"/>
      <c r="GB12" s="1493"/>
      <c r="GC12" s="1493"/>
      <c r="GD12" s="1493"/>
      <c r="GE12" s="1493"/>
      <c r="GF12" s="1493"/>
      <c r="GG12" s="1493"/>
      <c r="GH12" s="1493"/>
      <c r="GI12" s="1493"/>
      <c r="GJ12" s="1493"/>
      <c r="GK12" s="1493"/>
      <c r="GL12" s="1493"/>
      <c r="GM12" s="1493"/>
      <c r="GN12" s="1493"/>
      <c r="GO12" s="1493"/>
      <c r="GP12" s="1493"/>
      <c r="GQ12" s="1493"/>
      <c r="GR12" s="1493"/>
      <c r="GS12" s="1493"/>
      <c r="GT12" s="1493"/>
      <c r="GU12" s="1493"/>
      <c r="GV12" s="1493"/>
      <c r="GW12" s="1493"/>
      <c r="GX12" s="1493"/>
      <c r="GY12" s="1493"/>
      <c r="GZ12" s="1493"/>
      <c r="HA12" s="1493"/>
      <c r="HB12" s="1493"/>
      <c r="HC12" s="1493"/>
      <c r="HD12" s="1493"/>
      <c r="HE12" s="1493"/>
      <c r="HF12" s="1493"/>
      <c r="HG12" s="1493"/>
      <c r="HH12" s="1493"/>
      <c r="HI12" s="1493"/>
      <c r="HJ12" s="1493"/>
      <c r="HK12" s="1493"/>
      <c r="HL12" s="1493"/>
      <c r="HM12" s="1493"/>
      <c r="HN12" s="1493"/>
      <c r="HO12" s="1493"/>
      <c r="HP12" s="1493"/>
      <c r="HQ12" s="1493"/>
      <c r="HR12" s="1493"/>
      <c r="HS12" s="1493"/>
      <c r="HT12" s="1493"/>
      <c r="HU12" s="1493"/>
      <c r="HV12" s="1493"/>
      <c r="HW12" s="1493"/>
      <c r="HX12" s="1493"/>
      <c r="HY12" s="1493"/>
      <c r="HZ12" s="1493"/>
      <c r="IA12" s="1493"/>
      <c r="IB12" s="1493"/>
      <c r="IC12" s="1493"/>
      <c r="ID12" s="1493"/>
      <c r="IE12" s="1493"/>
      <c r="IF12" s="1493"/>
      <c r="IG12" s="1493"/>
      <c r="IH12" s="1493"/>
      <c r="II12" s="1493"/>
      <c r="IJ12" s="1493"/>
      <c r="IK12" s="1493"/>
      <c r="IL12" s="1493"/>
      <c r="IM12" s="1493"/>
      <c r="IN12" s="1493"/>
      <c r="IO12" s="1493"/>
      <c r="IP12" s="1493"/>
      <c r="IQ12" s="1493"/>
      <c r="IR12" s="1493"/>
      <c r="IS12" s="1493"/>
      <c r="IT12" s="1493"/>
      <c r="IU12" s="1493"/>
      <c r="IV12" s="1493"/>
    </row>
    <row r="13" spans="1:256">
      <c r="A13" s="1497">
        <f>+A12+1</f>
        <v>3</v>
      </c>
      <c r="B13" s="1498" t="s">
        <v>505</v>
      </c>
      <c r="C13" s="1498"/>
      <c r="D13" s="1498"/>
      <c r="E13" s="1498" t="str">
        <f>"Line "&amp;A11&amp;" less Line "&amp;A12</f>
        <v>Line 1 less Line 2</v>
      </c>
      <c r="F13" s="1495"/>
      <c r="G13" s="1493"/>
      <c r="H13" s="1499">
        <f>+H11-H12</f>
        <v>0</v>
      </c>
      <c r="I13" s="1495"/>
      <c r="J13" s="1493"/>
      <c r="K13" s="1493"/>
      <c r="L13" s="1493"/>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3"/>
      <c r="AI13" s="1493"/>
      <c r="AJ13" s="1493"/>
      <c r="AK13" s="1493"/>
      <c r="AL13" s="1493"/>
      <c r="AM13" s="1493"/>
      <c r="AN13" s="1493"/>
      <c r="AO13" s="1493"/>
      <c r="AP13" s="1493"/>
      <c r="AQ13" s="1493"/>
      <c r="AR13" s="1493"/>
      <c r="AS13" s="1493"/>
      <c r="AT13" s="1493"/>
      <c r="AU13" s="1493"/>
      <c r="AV13" s="1493"/>
      <c r="AW13" s="1493"/>
      <c r="AX13" s="1493"/>
      <c r="AY13" s="1493"/>
      <c r="AZ13" s="1493"/>
      <c r="BA13" s="1493"/>
      <c r="BB13" s="1493"/>
      <c r="BC13" s="1493"/>
      <c r="BD13" s="1493"/>
      <c r="BE13" s="1493"/>
      <c r="BF13" s="1493"/>
      <c r="BG13" s="1493"/>
      <c r="BH13" s="1493"/>
      <c r="BI13" s="1493"/>
      <c r="BJ13" s="1493"/>
      <c r="BK13" s="1493"/>
      <c r="BL13" s="1493"/>
      <c r="BM13" s="1493"/>
      <c r="BN13" s="1493"/>
      <c r="BO13" s="1493"/>
      <c r="BP13" s="1493"/>
      <c r="BQ13" s="1493"/>
      <c r="BR13" s="1493"/>
      <c r="BS13" s="1493"/>
      <c r="BT13" s="1493"/>
      <c r="BU13" s="1493"/>
      <c r="BV13" s="1493"/>
      <c r="BW13" s="1493"/>
      <c r="BX13" s="1493"/>
      <c r="BY13" s="1493"/>
      <c r="BZ13" s="1493"/>
      <c r="CA13" s="1493"/>
      <c r="CB13" s="1493"/>
      <c r="CC13" s="1493"/>
      <c r="CD13" s="1493"/>
      <c r="CE13" s="1493"/>
      <c r="CF13" s="1493"/>
      <c r="CG13" s="1493"/>
      <c r="CH13" s="1493"/>
      <c r="CI13" s="1493"/>
      <c r="CJ13" s="1493"/>
      <c r="CK13" s="1493"/>
      <c r="CL13" s="1493"/>
      <c r="CM13" s="1493"/>
      <c r="CN13" s="1493"/>
      <c r="CO13" s="1493"/>
      <c r="CP13" s="1493"/>
      <c r="CQ13" s="1493"/>
      <c r="CR13" s="1493"/>
      <c r="CS13" s="1493"/>
      <c r="CT13" s="1493"/>
      <c r="CU13" s="1493"/>
      <c r="CV13" s="1493"/>
      <c r="CW13" s="1493"/>
      <c r="CX13" s="1493"/>
      <c r="CY13" s="1493"/>
      <c r="CZ13" s="1493"/>
      <c r="DA13" s="1493"/>
      <c r="DB13" s="1493"/>
      <c r="DC13" s="1493"/>
      <c r="DD13" s="1493"/>
      <c r="DE13" s="1493"/>
      <c r="DF13" s="1493"/>
      <c r="DG13" s="1493"/>
      <c r="DH13" s="1493"/>
      <c r="DI13" s="1493"/>
      <c r="DJ13" s="1493"/>
      <c r="DK13" s="1493"/>
      <c r="DL13" s="1493"/>
      <c r="DM13" s="1493"/>
      <c r="DN13" s="1493"/>
      <c r="DO13" s="1493"/>
      <c r="DP13" s="1493"/>
      <c r="DQ13" s="1493"/>
      <c r="DR13" s="1493"/>
      <c r="DS13" s="1493"/>
      <c r="DT13" s="1493"/>
      <c r="DU13" s="1493"/>
      <c r="DV13" s="1493"/>
      <c r="DW13" s="1493"/>
      <c r="DX13" s="1493"/>
      <c r="DY13" s="1493"/>
      <c r="DZ13" s="1493"/>
      <c r="EA13" s="1493"/>
      <c r="EB13" s="1493"/>
      <c r="EC13" s="1493"/>
      <c r="ED13" s="1493"/>
      <c r="EE13" s="1493"/>
      <c r="EF13" s="1493"/>
      <c r="EG13" s="1493"/>
      <c r="EH13" s="1493"/>
      <c r="EI13" s="1493"/>
      <c r="EJ13" s="1493"/>
      <c r="EK13" s="1493"/>
      <c r="EL13" s="1493"/>
      <c r="EM13" s="1493"/>
      <c r="EN13" s="1493"/>
      <c r="EO13" s="1493"/>
      <c r="EP13" s="1493"/>
      <c r="EQ13" s="1493"/>
      <c r="ER13" s="1493"/>
      <c r="ES13" s="1493"/>
      <c r="ET13" s="1493"/>
      <c r="EU13" s="1493"/>
      <c r="EV13" s="1493"/>
      <c r="EW13" s="1493"/>
      <c r="EX13" s="1493"/>
      <c r="EY13" s="1493"/>
      <c r="EZ13" s="1493"/>
      <c r="FA13" s="1493"/>
      <c r="FB13" s="1493"/>
      <c r="FC13" s="1493"/>
      <c r="FD13" s="1493"/>
      <c r="FE13" s="1493"/>
      <c r="FF13" s="1493"/>
      <c r="FG13" s="1493"/>
      <c r="FH13" s="1493"/>
      <c r="FI13" s="1493"/>
      <c r="FJ13" s="1493"/>
      <c r="FK13" s="1493"/>
      <c r="FL13" s="1493"/>
      <c r="FM13" s="1493"/>
      <c r="FN13" s="1493"/>
      <c r="FO13" s="1493"/>
      <c r="FP13" s="1493"/>
      <c r="FQ13" s="1493"/>
      <c r="FR13" s="1493"/>
      <c r="FS13" s="1493"/>
      <c r="FT13" s="1493"/>
      <c r="FU13" s="1493"/>
      <c r="FV13" s="1493"/>
      <c r="FW13" s="1493"/>
      <c r="FX13" s="1493"/>
      <c r="FY13" s="1493"/>
      <c r="FZ13" s="1493"/>
      <c r="GA13" s="1493"/>
      <c r="GB13" s="1493"/>
      <c r="GC13" s="1493"/>
      <c r="GD13" s="1493"/>
      <c r="GE13" s="1493"/>
      <c r="GF13" s="1493"/>
      <c r="GG13" s="1493"/>
      <c r="GH13" s="1493"/>
      <c r="GI13" s="1493"/>
      <c r="GJ13" s="1493"/>
      <c r="GK13" s="1493"/>
      <c r="GL13" s="1493"/>
      <c r="GM13" s="1493"/>
      <c r="GN13" s="1493"/>
      <c r="GO13" s="1493"/>
      <c r="GP13" s="1493"/>
      <c r="GQ13" s="1493"/>
      <c r="GR13" s="1493"/>
      <c r="GS13" s="1493"/>
      <c r="GT13" s="1493"/>
      <c r="GU13" s="1493"/>
      <c r="GV13" s="1493"/>
      <c r="GW13" s="1493"/>
      <c r="GX13" s="1493"/>
      <c r="GY13" s="1493"/>
      <c r="GZ13" s="1493"/>
      <c r="HA13" s="1493"/>
      <c r="HB13" s="1493"/>
      <c r="HC13" s="1493"/>
      <c r="HD13" s="1493"/>
      <c r="HE13" s="1493"/>
      <c r="HF13" s="1493"/>
      <c r="HG13" s="1493"/>
      <c r="HH13" s="1493"/>
      <c r="HI13" s="1493"/>
      <c r="HJ13" s="1493"/>
      <c r="HK13" s="1493"/>
      <c r="HL13" s="1493"/>
      <c r="HM13" s="1493"/>
      <c r="HN13" s="1493"/>
      <c r="HO13" s="1493"/>
      <c r="HP13" s="1493"/>
      <c r="HQ13" s="1493"/>
      <c r="HR13" s="1493"/>
      <c r="HS13" s="1493"/>
      <c r="HT13" s="1493"/>
      <c r="HU13" s="1493"/>
      <c r="HV13" s="1493"/>
      <c r="HW13" s="1493"/>
      <c r="HX13" s="1493"/>
      <c r="HY13" s="1493"/>
      <c r="HZ13" s="1493"/>
      <c r="IA13" s="1493"/>
      <c r="IB13" s="1493"/>
      <c r="IC13" s="1493"/>
      <c r="ID13" s="1493"/>
      <c r="IE13" s="1493"/>
      <c r="IF13" s="1493"/>
      <c r="IG13" s="1493"/>
      <c r="IH13" s="1493"/>
      <c r="II13" s="1493"/>
      <c r="IJ13" s="1493"/>
      <c r="IK13" s="1493"/>
      <c r="IL13" s="1493"/>
      <c r="IM13" s="1493"/>
      <c r="IN13" s="1493"/>
      <c r="IO13" s="1493"/>
      <c r="IP13" s="1493"/>
      <c r="IQ13" s="1493"/>
      <c r="IR13" s="1493"/>
      <c r="IS13" s="1493"/>
      <c r="IT13" s="1493"/>
      <c r="IU13" s="1493"/>
      <c r="IV13" s="1493"/>
    </row>
    <row r="14" spans="1:256">
      <c r="A14" s="1497">
        <f>+A13+1</f>
        <v>4</v>
      </c>
      <c r="B14" s="1498" t="s">
        <v>506</v>
      </c>
      <c r="C14" s="1498"/>
      <c r="D14" s="1498"/>
      <c r="E14" s="1498" t="str">
        <f>"Line "&amp;A13&amp;" / 12"</f>
        <v>Line 3 / 12</v>
      </c>
      <c r="F14" s="1495"/>
      <c r="G14" s="1493"/>
      <c r="H14" s="1500">
        <f>+H13/12</f>
        <v>0</v>
      </c>
      <c r="I14" s="1495"/>
      <c r="J14" s="1493"/>
      <c r="K14" s="1493"/>
      <c r="L14" s="1493"/>
      <c r="M14" s="1493"/>
      <c r="N14" s="1493"/>
      <c r="O14" s="1493"/>
      <c r="P14" s="1493"/>
      <c r="Q14" s="1493"/>
      <c r="R14" s="1493"/>
      <c r="S14" s="1493"/>
      <c r="T14" s="1493"/>
      <c r="U14" s="1493"/>
      <c r="V14" s="1493"/>
      <c r="W14" s="1493"/>
      <c r="X14" s="1493"/>
      <c r="Y14" s="1493"/>
      <c r="Z14" s="1493"/>
      <c r="AA14" s="1493"/>
      <c r="AB14" s="1493"/>
      <c r="AC14" s="1493"/>
      <c r="AD14" s="1493"/>
      <c r="AE14" s="1493"/>
      <c r="AF14" s="1493"/>
      <c r="AG14" s="1493"/>
      <c r="AH14" s="1493"/>
      <c r="AI14" s="1493"/>
      <c r="AJ14" s="1493"/>
      <c r="AK14" s="1493"/>
      <c r="AL14" s="1493"/>
      <c r="AM14" s="1493"/>
      <c r="AN14" s="1493"/>
      <c r="AO14" s="1493"/>
      <c r="AP14" s="1493"/>
      <c r="AQ14" s="1493"/>
      <c r="AR14" s="1493"/>
      <c r="AS14" s="1493"/>
      <c r="AT14" s="1493"/>
      <c r="AU14" s="1493"/>
      <c r="AV14" s="1493"/>
      <c r="AW14" s="1493"/>
      <c r="AX14" s="1493"/>
      <c r="AY14" s="1493"/>
      <c r="AZ14" s="1493"/>
      <c r="BA14" s="1493"/>
      <c r="BB14" s="1493"/>
      <c r="BC14" s="1493"/>
      <c r="BD14" s="1493"/>
      <c r="BE14" s="1493"/>
      <c r="BF14" s="1493"/>
      <c r="BG14" s="1493"/>
      <c r="BH14" s="1493"/>
      <c r="BI14" s="1493"/>
      <c r="BJ14" s="1493"/>
      <c r="BK14" s="1493"/>
      <c r="BL14" s="1493"/>
      <c r="BM14" s="1493"/>
      <c r="BN14" s="1493"/>
      <c r="BO14" s="1493"/>
      <c r="BP14" s="1493"/>
      <c r="BQ14" s="1493"/>
      <c r="BR14" s="1493"/>
      <c r="BS14" s="1493"/>
      <c r="BT14" s="1493"/>
      <c r="BU14" s="1493"/>
      <c r="BV14" s="1493"/>
      <c r="BW14" s="1493"/>
      <c r="BX14" s="1493"/>
      <c r="BY14" s="1493"/>
      <c r="BZ14" s="1493"/>
      <c r="CA14" s="1493"/>
      <c r="CB14" s="1493"/>
      <c r="CC14" s="1493"/>
      <c r="CD14" s="1493"/>
      <c r="CE14" s="1493"/>
      <c r="CF14" s="1493"/>
      <c r="CG14" s="1493"/>
      <c r="CH14" s="1493"/>
      <c r="CI14" s="1493"/>
      <c r="CJ14" s="1493"/>
      <c r="CK14" s="1493"/>
      <c r="CL14" s="1493"/>
      <c r="CM14" s="1493"/>
      <c r="CN14" s="1493"/>
      <c r="CO14" s="1493"/>
      <c r="CP14" s="1493"/>
      <c r="CQ14" s="1493"/>
      <c r="CR14" s="1493"/>
      <c r="CS14" s="1493"/>
      <c r="CT14" s="1493"/>
      <c r="CU14" s="1493"/>
      <c r="CV14" s="1493"/>
      <c r="CW14" s="1493"/>
      <c r="CX14" s="1493"/>
      <c r="CY14" s="1493"/>
      <c r="CZ14" s="1493"/>
      <c r="DA14" s="1493"/>
      <c r="DB14" s="1493"/>
      <c r="DC14" s="1493"/>
      <c r="DD14" s="1493"/>
      <c r="DE14" s="1493"/>
      <c r="DF14" s="1493"/>
      <c r="DG14" s="1493"/>
      <c r="DH14" s="1493"/>
      <c r="DI14" s="1493"/>
      <c r="DJ14" s="1493"/>
      <c r="DK14" s="1493"/>
      <c r="DL14" s="1493"/>
      <c r="DM14" s="1493"/>
      <c r="DN14" s="1493"/>
      <c r="DO14" s="1493"/>
      <c r="DP14" s="1493"/>
      <c r="DQ14" s="1493"/>
      <c r="DR14" s="1493"/>
      <c r="DS14" s="1493"/>
      <c r="DT14" s="1493"/>
      <c r="DU14" s="1493"/>
      <c r="DV14" s="1493"/>
      <c r="DW14" s="1493"/>
      <c r="DX14" s="1493"/>
      <c r="DY14" s="1493"/>
      <c r="DZ14" s="1493"/>
      <c r="EA14" s="1493"/>
      <c r="EB14" s="1493"/>
      <c r="EC14" s="1493"/>
      <c r="ED14" s="1493"/>
      <c r="EE14" s="1493"/>
      <c r="EF14" s="1493"/>
      <c r="EG14" s="1493"/>
      <c r="EH14" s="1493"/>
      <c r="EI14" s="1493"/>
      <c r="EJ14" s="1493"/>
      <c r="EK14" s="1493"/>
      <c r="EL14" s="1493"/>
      <c r="EM14" s="1493"/>
      <c r="EN14" s="1493"/>
      <c r="EO14" s="1493"/>
      <c r="EP14" s="1493"/>
      <c r="EQ14" s="1493"/>
      <c r="ER14" s="1493"/>
      <c r="ES14" s="1493"/>
      <c r="ET14" s="1493"/>
      <c r="EU14" s="1493"/>
      <c r="EV14" s="1493"/>
      <c r="EW14" s="1493"/>
      <c r="EX14" s="1493"/>
      <c r="EY14" s="1493"/>
      <c r="EZ14" s="1493"/>
      <c r="FA14" s="1493"/>
      <c r="FB14" s="1493"/>
      <c r="FC14" s="1493"/>
      <c r="FD14" s="1493"/>
      <c r="FE14" s="1493"/>
      <c r="FF14" s="1493"/>
      <c r="FG14" s="1493"/>
      <c r="FH14" s="1493"/>
      <c r="FI14" s="1493"/>
      <c r="FJ14" s="1493"/>
      <c r="FK14" s="1493"/>
      <c r="FL14" s="1493"/>
      <c r="FM14" s="1493"/>
      <c r="FN14" s="1493"/>
      <c r="FO14" s="1493"/>
      <c r="FP14" s="1493"/>
      <c r="FQ14" s="1493"/>
      <c r="FR14" s="1493"/>
      <c r="FS14" s="1493"/>
      <c r="FT14" s="1493"/>
      <c r="FU14" s="1493"/>
      <c r="FV14" s="1493"/>
      <c r="FW14" s="1493"/>
      <c r="FX14" s="1493"/>
      <c r="FY14" s="1493"/>
      <c r="FZ14" s="1493"/>
      <c r="GA14" s="1493"/>
      <c r="GB14" s="1493"/>
      <c r="GC14" s="1493"/>
      <c r="GD14" s="1493"/>
      <c r="GE14" s="1493"/>
      <c r="GF14" s="1493"/>
      <c r="GG14" s="1493"/>
      <c r="GH14" s="1493"/>
      <c r="GI14" s="1493"/>
      <c r="GJ14" s="1493"/>
      <c r="GK14" s="1493"/>
      <c r="GL14" s="1493"/>
      <c r="GM14" s="1493"/>
      <c r="GN14" s="1493"/>
      <c r="GO14" s="1493"/>
      <c r="GP14" s="1493"/>
      <c r="GQ14" s="1493"/>
      <c r="GR14" s="1493"/>
      <c r="GS14" s="1493"/>
      <c r="GT14" s="1493"/>
      <c r="GU14" s="1493"/>
      <c r="GV14" s="1493"/>
      <c r="GW14" s="1493"/>
      <c r="GX14" s="1493"/>
      <c r="GY14" s="1493"/>
      <c r="GZ14" s="1493"/>
      <c r="HA14" s="1493"/>
      <c r="HB14" s="1493"/>
      <c r="HC14" s="1493"/>
      <c r="HD14" s="1493"/>
      <c r="HE14" s="1493"/>
      <c r="HF14" s="1493"/>
      <c r="HG14" s="1493"/>
      <c r="HH14" s="1493"/>
      <c r="HI14" s="1493"/>
      <c r="HJ14" s="1493"/>
      <c r="HK14" s="1493"/>
      <c r="HL14" s="1493"/>
      <c r="HM14" s="1493"/>
      <c r="HN14" s="1493"/>
      <c r="HO14" s="1493"/>
      <c r="HP14" s="1493"/>
      <c r="HQ14" s="1493"/>
      <c r="HR14" s="1493"/>
      <c r="HS14" s="1493"/>
      <c r="HT14" s="1493"/>
      <c r="HU14" s="1493"/>
      <c r="HV14" s="1493"/>
      <c r="HW14" s="1493"/>
      <c r="HX14" s="1493"/>
      <c r="HY14" s="1493"/>
      <c r="HZ14" s="1493"/>
      <c r="IA14" s="1493"/>
      <c r="IB14" s="1493"/>
      <c r="IC14" s="1493"/>
      <c r="ID14" s="1493"/>
      <c r="IE14" s="1493"/>
      <c r="IF14" s="1493"/>
      <c r="IG14" s="1493"/>
      <c r="IH14" s="1493"/>
      <c r="II14" s="1493"/>
      <c r="IJ14" s="1493"/>
      <c r="IK14" s="1493"/>
      <c r="IL14" s="1493"/>
      <c r="IM14" s="1493"/>
      <c r="IN14" s="1493"/>
      <c r="IO14" s="1493"/>
      <c r="IP14" s="1493"/>
      <c r="IQ14" s="1493"/>
      <c r="IR14" s="1493"/>
      <c r="IS14" s="1493"/>
      <c r="IT14" s="1493"/>
      <c r="IU14" s="1493"/>
      <c r="IV14" s="1493"/>
    </row>
    <row r="15" spans="1:256">
      <c r="A15" s="1498"/>
      <c r="B15" s="1498"/>
      <c r="C15" s="1498"/>
      <c r="D15" s="1498"/>
      <c r="E15" s="1495"/>
      <c r="F15" s="1495"/>
      <c r="G15" s="1495"/>
      <c r="H15" s="1495"/>
      <c r="I15" s="1495"/>
      <c r="J15" s="1493"/>
      <c r="K15" s="1493"/>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3"/>
      <c r="AI15" s="1493"/>
      <c r="AJ15" s="1493"/>
      <c r="AK15" s="1493"/>
      <c r="AL15" s="1493"/>
      <c r="AM15" s="1493"/>
      <c r="AN15" s="1493"/>
      <c r="AO15" s="1493"/>
      <c r="AP15" s="1493"/>
      <c r="AQ15" s="1493"/>
      <c r="AR15" s="1493"/>
      <c r="AS15" s="1493"/>
      <c r="AT15" s="1493"/>
      <c r="AU15" s="1493"/>
      <c r="AV15" s="1493"/>
      <c r="AW15" s="1493"/>
      <c r="AX15" s="1493"/>
      <c r="AY15" s="1493"/>
      <c r="AZ15" s="1493"/>
      <c r="BA15" s="1493"/>
      <c r="BB15" s="1493"/>
      <c r="BC15" s="1493"/>
      <c r="BD15" s="1493"/>
      <c r="BE15" s="1493"/>
      <c r="BF15" s="1493"/>
      <c r="BG15" s="1493"/>
      <c r="BH15" s="1493"/>
      <c r="BI15" s="1493"/>
      <c r="BJ15" s="1493"/>
      <c r="BK15" s="1493"/>
      <c r="BL15" s="1493"/>
      <c r="BM15" s="1493"/>
      <c r="BN15" s="1493"/>
      <c r="BO15" s="1493"/>
      <c r="BP15" s="1493"/>
      <c r="BQ15" s="1493"/>
      <c r="BR15" s="1493"/>
      <c r="BS15" s="1493"/>
      <c r="BT15" s="1493"/>
      <c r="BU15" s="1493"/>
      <c r="BV15" s="1493"/>
      <c r="BW15" s="1493"/>
      <c r="BX15" s="1493"/>
      <c r="BY15" s="1493"/>
      <c r="BZ15" s="1493"/>
      <c r="CA15" s="1493"/>
      <c r="CB15" s="1493"/>
      <c r="CC15" s="1493"/>
      <c r="CD15" s="1493"/>
      <c r="CE15" s="1493"/>
      <c r="CF15" s="1493"/>
      <c r="CG15" s="1493"/>
      <c r="CH15" s="1493"/>
      <c r="CI15" s="1493"/>
      <c r="CJ15" s="1493"/>
      <c r="CK15" s="1493"/>
      <c r="CL15" s="1493"/>
      <c r="CM15" s="1493"/>
      <c r="CN15" s="1493"/>
      <c r="CO15" s="1493"/>
      <c r="CP15" s="1493"/>
      <c r="CQ15" s="1493"/>
      <c r="CR15" s="1493"/>
      <c r="CS15" s="1493"/>
      <c r="CT15" s="1493"/>
      <c r="CU15" s="1493"/>
      <c r="CV15" s="1493"/>
      <c r="CW15" s="1493"/>
      <c r="CX15" s="1493"/>
      <c r="CY15" s="1493"/>
      <c r="CZ15" s="1493"/>
      <c r="DA15" s="1493"/>
      <c r="DB15" s="1493"/>
      <c r="DC15" s="1493"/>
      <c r="DD15" s="1493"/>
      <c r="DE15" s="1493"/>
      <c r="DF15" s="1493"/>
      <c r="DG15" s="1493"/>
      <c r="DH15" s="1493"/>
      <c r="DI15" s="1493"/>
      <c r="DJ15" s="1493"/>
      <c r="DK15" s="1493"/>
      <c r="DL15" s="1493"/>
      <c r="DM15" s="1493"/>
      <c r="DN15" s="1493"/>
      <c r="DO15" s="1493"/>
      <c r="DP15" s="1493"/>
      <c r="DQ15" s="1493"/>
      <c r="DR15" s="1493"/>
      <c r="DS15" s="1493"/>
      <c r="DT15" s="1493"/>
      <c r="DU15" s="1493"/>
      <c r="DV15" s="1493"/>
      <c r="DW15" s="1493"/>
      <c r="DX15" s="1493"/>
      <c r="DY15" s="1493"/>
      <c r="DZ15" s="1493"/>
      <c r="EA15" s="1493"/>
      <c r="EB15" s="1493"/>
      <c r="EC15" s="1493"/>
      <c r="ED15" s="1493"/>
      <c r="EE15" s="1493"/>
      <c r="EF15" s="1493"/>
      <c r="EG15" s="1493"/>
      <c r="EH15" s="1493"/>
      <c r="EI15" s="1493"/>
      <c r="EJ15" s="1493"/>
      <c r="EK15" s="1493"/>
      <c r="EL15" s="1493"/>
      <c r="EM15" s="1493"/>
      <c r="EN15" s="1493"/>
      <c r="EO15" s="1493"/>
      <c r="EP15" s="1493"/>
      <c r="EQ15" s="1493"/>
      <c r="ER15" s="1493"/>
      <c r="ES15" s="1493"/>
      <c r="ET15" s="1493"/>
      <c r="EU15" s="1493"/>
      <c r="EV15" s="1493"/>
      <c r="EW15" s="1493"/>
      <c r="EX15" s="1493"/>
      <c r="EY15" s="1493"/>
      <c r="EZ15" s="1493"/>
      <c r="FA15" s="1493"/>
      <c r="FB15" s="1493"/>
      <c r="FC15" s="1493"/>
      <c r="FD15" s="1493"/>
      <c r="FE15" s="1493"/>
      <c r="FF15" s="1493"/>
      <c r="FG15" s="1493"/>
      <c r="FH15" s="1493"/>
      <c r="FI15" s="1493"/>
      <c r="FJ15" s="1493"/>
      <c r="FK15" s="1493"/>
      <c r="FL15" s="1493"/>
      <c r="FM15" s="1493"/>
      <c r="FN15" s="1493"/>
      <c r="FO15" s="1493"/>
      <c r="FP15" s="1493"/>
      <c r="FQ15" s="1493"/>
      <c r="FR15" s="1493"/>
      <c r="FS15" s="1493"/>
      <c r="FT15" s="1493"/>
      <c r="FU15" s="1493"/>
      <c r="FV15" s="1493"/>
      <c r="FW15" s="1493"/>
      <c r="FX15" s="1493"/>
      <c r="FY15" s="1493"/>
      <c r="FZ15" s="1493"/>
      <c r="GA15" s="1493"/>
      <c r="GB15" s="1493"/>
      <c r="GC15" s="1493"/>
      <c r="GD15" s="1493"/>
      <c r="GE15" s="1493"/>
      <c r="GF15" s="1493"/>
      <c r="GG15" s="1493"/>
      <c r="GH15" s="1493"/>
      <c r="GI15" s="1493"/>
      <c r="GJ15" s="1493"/>
      <c r="GK15" s="1493"/>
      <c r="GL15" s="1493"/>
      <c r="GM15" s="1493"/>
      <c r="GN15" s="1493"/>
      <c r="GO15" s="1493"/>
      <c r="GP15" s="1493"/>
      <c r="GQ15" s="1493"/>
      <c r="GR15" s="1493"/>
      <c r="GS15" s="1493"/>
      <c r="GT15" s="1493"/>
      <c r="GU15" s="1493"/>
      <c r="GV15" s="1493"/>
      <c r="GW15" s="1493"/>
      <c r="GX15" s="1493"/>
      <c r="GY15" s="1493"/>
      <c r="GZ15" s="1493"/>
      <c r="HA15" s="1493"/>
      <c r="HB15" s="1493"/>
      <c r="HC15" s="1493"/>
      <c r="HD15" s="1493"/>
      <c r="HE15" s="1493"/>
      <c r="HF15" s="1493"/>
      <c r="HG15" s="1493"/>
      <c r="HH15" s="1493"/>
      <c r="HI15" s="1493"/>
      <c r="HJ15" s="1493"/>
      <c r="HK15" s="1493"/>
      <c r="HL15" s="1493"/>
      <c r="HM15" s="1493"/>
      <c r="HN15" s="1493"/>
      <c r="HO15" s="1493"/>
      <c r="HP15" s="1493"/>
      <c r="HQ15" s="1493"/>
      <c r="HR15" s="1493"/>
      <c r="HS15" s="1493"/>
      <c r="HT15" s="1493"/>
      <c r="HU15" s="1493"/>
      <c r="HV15" s="1493"/>
      <c r="HW15" s="1493"/>
      <c r="HX15" s="1493"/>
      <c r="HY15" s="1493"/>
      <c r="HZ15" s="1493"/>
      <c r="IA15" s="1493"/>
      <c r="IB15" s="1493"/>
      <c r="IC15" s="1493"/>
      <c r="ID15" s="1493"/>
      <c r="IE15" s="1493"/>
      <c r="IF15" s="1493"/>
      <c r="IG15" s="1493"/>
      <c r="IH15" s="1493"/>
      <c r="II15" s="1493"/>
      <c r="IJ15" s="1493"/>
      <c r="IK15" s="1493"/>
      <c r="IL15" s="1493"/>
      <c r="IM15" s="1493"/>
      <c r="IN15" s="1493"/>
      <c r="IO15" s="1493"/>
      <c r="IP15" s="1493"/>
      <c r="IQ15" s="1493"/>
      <c r="IR15" s="1493"/>
      <c r="IS15" s="1493"/>
      <c r="IT15" s="1493"/>
      <c r="IU15" s="1493"/>
      <c r="IV15" s="1493"/>
    </row>
    <row r="16" spans="1:256" ht="15.75">
      <c r="A16" s="1493"/>
      <c r="B16" s="1501" t="s">
        <v>298</v>
      </c>
      <c r="C16" s="1501" t="s">
        <v>299</v>
      </c>
      <c r="D16" s="1501" t="s">
        <v>47</v>
      </c>
      <c r="E16" s="1501" t="s">
        <v>301</v>
      </c>
      <c r="F16" s="1501" t="s">
        <v>226</v>
      </c>
      <c r="G16" s="1501" t="s">
        <v>227</v>
      </c>
      <c r="H16" s="1501" t="s">
        <v>228</v>
      </c>
      <c r="I16" s="1501" t="s">
        <v>233</v>
      </c>
      <c r="J16" s="1493"/>
      <c r="K16" s="1493"/>
      <c r="L16" s="1493"/>
      <c r="M16" s="1493"/>
      <c r="N16" s="1493"/>
      <c r="O16" s="1493"/>
      <c r="P16" s="1493"/>
      <c r="Q16" s="1493"/>
      <c r="R16" s="1493"/>
      <c r="S16" s="1493"/>
      <c r="T16" s="1493"/>
      <c r="U16" s="1493"/>
      <c r="V16" s="1493"/>
      <c r="W16" s="1493"/>
      <c r="X16" s="1493"/>
      <c r="Y16" s="1493"/>
      <c r="Z16" s="1493"/>
      <c r="AA16" s="1493"/>
      <c r="AB16" s="1493"/>
      <c r="AC16" s="1493"/>
      <c r="AD16" s="1493"/>
      <c r="AE16" s="1493"/>
      <c r="AF16" s="1493"/>
      <c r="AG16" s="1493"/>
      <c r="AH16" s="1493"/>
      <c r="AI16" s="1493"/>
      <c r="AJ16" s="1493"/>
      <c r="AK16" s="149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93"/>
      <c r="BN16" s="1493"/>
      <c r="BO16" s="1493"/>
      <c r="BP16" s="1493"/>
      <c r="BQ16" s="1493"/>
      <c r="BR16" s="1493"/>
      <c r="BS16" s="1493"/>
      <c r="BT16" s="1493"/>
      <c r="BU16" s="1493"/>
      <c r="BV16" s="1493"/>
      <c r="BW16" s="1493"/>
      <c r="BX16" s="1493"/>
      <c r="BY16" s="1493"/>
      <c r="BZ16" s="1493"/>
      <c r="CA16" s="1493"/>
      <c r="CB16" s="1493"/>
      <c r="CC16" s="1493"/>
      <c r="CD16" s="1493"/>
      <c r="CE16" s="1493"/>
      <c r="CF16" s="1493"/>
      <c r="CG16" s="1493"/>
      <c r="CH16" s="1493"/>
      <c r="CI16" s="1493"/>
      <c r="CJ16" s="1493"/>
      <c r="CK16" s="1493"/>
      <c r="CL16" s="1493"/>
      <c r="CM16" s="1493"/>
      <c r="CN16" s="1493"/>
      <c r="CO16" s="1493"/>
      <c r="CP16" s="1493"/>
      <c r="CQ16" s="1493"/>
      <c r="CR16" s="1493"/>
      <c r="CS16" s="1493"/>
      <c r="CT16" s="1493"/>
      <c r="CU16" s="1493"/>
      <c r="CV16" s="1493"/>
      <c r="CW16" s="1493"/>
      <c r="CX16" s="1493"/>
      <c r="CY16" s="1493"/>
      <c r="CZ16" s="1493"/>
      <c r="DA16" s="1493"/>
      <c r="DB16" s="1493"/>
      <c r="DC16" s="1493"/>
      <c r="DD16" s="1493"/>
      <c r="DE16" s="1493"/>
      <c r="DF16" s="1493"/>
      <c r="DG16" s="1493"/>
      <c r="DH16" s="1493"/>
      <c r="DI16" s="1493"/>
      <c r="DJ16" s="1493"/>
      <c r="DK16" s="1493"/>
      <c r="DL16" s="1493"/>
      <c r="DM16" s="1493"/>
      <c r="DN16" s="1493"/>
      <c r="DO16" s="1493"/>
      <c r="DP16" s="1493"/>
      <c r="DQ16" s="1493"/>
      <c r="DR16" s="1493"/>
      <c r="DS16" s="1493"/>
      <c r="DT16" s="1493"/>
      <c r="DU16" s="1493"/>
      <c r="DV16" s="1493"/>
      <c r="DW16" s="1493"/>
      <c r="DX16" s="1493"/>
      <c r="DY16" s="1493"/>
      <c r="DZ16" s="1493"/>
      <c r="EA16" s="1493"/>
      <c r="EB16" s="1493"/>
      <c r="EC16" s="1493"/>
      <c r="ED16" s="1493"/>
      <c r="EE16" s="1493"/>
      <c r="EF16" s="1493"/>
      <c r="EG16" s="1493"/>
      <c r="EH16" s="1493"/>
      <c r="EI16" s="1493"/>
      <c r="EJ16" s="1493"/>
      <c r="EK16" s="1493"/>
      <c r="EL16" s="1493"/>
      <c r="EM16" s="1493"/>
      <c r="EN16" s="1493"/>
      <c r="EO16" s="1493"/>
      <c r="EP16" s="1493"/>
      <c r="EQ16" s="1493"/>
      <c r="ER16" s="1493"/>
      <c r="ES16" s="1493"/>
      <c r="ET16" s="1493"/>
      <c r="EU16" s="1493"/>
      <c r="EV16" s="1493"/>
      <c r="EW16" s="1493"/>
      <c r="EX16" s="1493"/>
      <c r="EY16" s="1493"/>
      <c r="EZ16" s="1493"/>
      <c r="FA16" s="1493"/>
      <c r="FB16" s="1493"/>
      <c r="FC16" s="1493"/>
      <c r="FD16" s="1493"/>
      <c r="FE16" s="1493"/>
      <c r="FF16" s="1493"/>
      <c r="FG16" s="1493"/>
      <c r="FH16" s="1493"/>
      <c r="FI16" s="1493"/>
      <c r="FJ16" s="1493"/>
      <c r="FK16" s="1493"/>
      <c r="FL16" s="1493"/>
      <c r="FM16" s="1493"/>
      <c r="FN16" s="1493"/>
      <c r="FO16" s="1493"/>
      <c r="FP16" s="1493"/>
      <c r="FQ16" s="1493"/>
      <c r="FR16" s="1493"/>
      <c r="FS16" s="1493"/>
      <c r="FT16" s="1493"/>
      <c r="FU16" s="1493"/>
      <c r="FV16" s="1493"/>
      <c r="FW16" s="1493"/>
      <c r="FX16" s="1493"/>
      <c r="FY16" s="1493"/>
      <c r="FZ16" s="1493"/>
      <c r="GA16" s="1493"/>
      <c r="GB16" s="1493"/>
      <c r="GC16" s="1493"/>
      <c r="GD16" s="1493"/>
      <c r="GE16" s="1493"/>
      <c r="GF16" s="1493"/>
      <c r="GG16" s="1493"/>
      <c r="GH16" s="1493"/>
      <c r="GI16" s="1493"/>
      <c r="GJ16" s="1493"/>
      <c r="GK16" s="1493"/>
      <c r="GL16" s="1493"/>
      <c r="GM16" s="1493"/>
      <c r="GN16" s="1493"/>
      <c r="GO16" s="1493"/>
      <c r="GP16" s="1493"/>
      <c r="GQ16" s="1493"/>
      <c r="GR16" s="1493"/>
      <c r="GS16" s="1493"/>
      <c r="GT16" s="1493"/>
      <c r="GU16" s="1493"/>
      <c r="GV16" s="1493"/>
      <c r="GW16" s="1493"/>
      <c r="GX16" s="1493"/>
      <c r="GY16" s="1493"/>
      <c r="GZ16" s="1493"/>
      <c r="HA16" s="1493"/>
      <c r="HB16" s="1493"/>
      <c r="HC16" s="1493"/>
      <c r="HD16" s="1493"/>
      <c r="HE16" s="1493"/>
      <c r="HF16" s="1493"/>
      <c r="HG16" s="1493"/>
      <c r="HH16" s="1493"/>
      <c r="HI16" s="1493"/>
      <c r="HJ16" s="1493"/>
      <c r="HK16" s="1493"/>
      <c r="HL16" s="1493"/>
      <c r="HM16" s="1493"/>
      <c r="HN16" s="1493"/>
      <c r="HO16" s="1493"/>
      <c r="HP16" s="1493"/>
      <c r="HQ16" s="1493"/>
      <c r="HR16" s="1493"/>
      <c r="HS16" s="1493"/>
      <c r="HT16" s="1493"/>
      <c r="HU16" s="1493"/>
      <c r="HV16" s="1493"/>
      <c r="HW16" s="1493"/>
      <c r="HX16" s="1493"/>
      <c r="HY16" s="1493"/>
      <c r="HZ16" s="1493"/>
      <c r="IA16" s="1493"/>
      <c r="IB16" s="1493"/>
      <c r="IC16" s="1493"/>
      <c r="ID16" s="1493"/>
      <c r="IE16" s="1493"/>
      <c r="IF16" s="1493"/>
      <c r="IG16" s="1493"/>
      <c r="IH16" s="1493"/>
      <c r="II16" s="1493"/>
      <c r="IJ16" s="1493"/>
      <c r="IK16" s="1493"/>
      <c r="IL16" s="1493"/>
      <c r="IM16" s="1493"/>
      <c r="IN16" s="1493"/>
      <c r="IO16" s="1493"/>
      <c r="IP16" s="1493"/>
      <c r="IQ16" s="1493"/>
      <c r="IR16" s="1493"/>
      <c r="IS16" s="1493"/>
      <c r="IT16" s="1493"/>
      <c r="IU16" s="1493"/>
      <c r="IV16" s="1493"/>
    </row>
    <row r="17" spans="1:256" ht="39">
      <c r="A17" s="1502" t="s">
        <v>305</v>
      </c>
      <c r="B17" s="1503" t="s">
        <v>507</v>
      </c>
      <c r="C17" s="1503" t="s">
        <v>508</v>
      </c>
      <c r="D17" s="1503" t="s">
        <v>516</v>
      </c>
      <c r="E17" s="1503" t="s">
        <v>517</v>
      </c>
      <c r="F17" s="1503" t="s">
        <v>518</v>
      </c>
      <c r="G17" s="1503" t="s">
        <v>519</v>
      </c>
      <c r="H17" s="1503" t="s">
        <v>509</v>
      </c>
      <c r="I17" s="1503" t="s">
        <v>520</v>
      </c>
      <c r="J17" s="1493"/>
      <c r="K17" s="1504"/>
      <c r="L17" s="1504"/>
      <c r="M17" s="1504"/>
      <c r="N17" s="1504"/>
      <c r="O17" s="1504"/>
      <c r="P17" s="1504"/>
      <c r="Q17" s="1504"/>
      <c r="R17" s="1504"/>
      <c r="S17" s="1504"/>
      <c r="T17" s="1504"/>
      <c r="U17" s="1504"/>
      <c r="V17" s="1504"/>
      <c r="W17" s="1504"/>
      <c r="X17" s="1504"/>
      <c r="Y17" s="1504"/>
      <c r="Z17" s="1504"/>
      <c r="AA17" s="1504"/>
      <c r="AB17" s="1504"/>
      <c r="AC17" s="1504"/>
      <c r="AD17" s="1504"/>
      <c r="AE17" s="1504"/>
      <c r="AF17" s="1504"/>
      <c r="AG17" s="1504"/>
      <c r="AH17" s="1504"/>
      <c r="AI17" s="1504"/>
      <c r="AJ17" s="1504"/>
      <c r="AK17" s="1504"/>
      <c r="AL17" s="1504"/>
      <c r="AM17" s="1504"/>
      <c r="AN17" s="1504"/>
      <c r="AO17" s="1504"/>
      <c r="AP17" s="1504"/>
      <c r="AQ17" s="1504"/>
      <c r="AR17" s="1504"/>
      <c r="AS17" s="1504"/>
      <c r="AT17" s="1504"/>
      <c r="AU17" s="1504"/>
      <c r="AV17" s="1504"/>
      <c r="AW17" s="1504"/>
      <c r="AX17" s="1504"/>
      <c r="AY17" s="1504"/>
      <c r="AZ17" s="1504"/>
      <c r="BA17" s="1504"/>
      <c r="BB17" s="1504"/>
      <c r="BC17" s="1504"/>
      <c r="BD17" s="1504"/>
      <c r="BE17" s="1504"/>
      <c r="BF17" s="1504"/>
      <c r="BG17" s="1504"/>
      <c r="BH17" s="1504"/>
      <c r="BI17" s="1504"/>
      <c r="BJ17" s="1504"/>
      <c r="BK17" s="1504"/>
      <c r="BL17" s="1504"/>
      <c r="BM17" s="1504"/>
      <c r="BN17" s="1504"/>
      <c r="BO17" s="1504"/>
      <c r="BP17" s="1504"/>
      <c r="BQ17" s="1504"/>
      <c r="BR17" s="1504"/>
      <c r="BS17" s="1504"/>
      <c r="BT17" s="1504"/>
      <c r="BU17" s="1504"/>
      <c r="BV17" s="1504"/>
      <c r="BW17" s="1504"/>
      <c r="BX17" s="1504"/>
      <c r="BY17" s="1504"/>
      <c r="BZ17" s="1504"/>
      <c r="CA17" s="1504"/>
      <c r="CB17" s="1504"/>
      <c r="CC17" s="1504"/>
      <c r="CD17" s="1504"/>
      <c r="CE17" s="1504"/>
      <c r="CF17" s="1504"/>
      <c r="CG17" s="1504"/>
      <c r="CH17" s="1504"/>
      <c r="CI17" s="1504"/>
      <c r="CJ17" s="1504"/>
      <c r="CK17" s="1504"/>
      <c r="CL17" s="1504"/>
      <c r="CM17" s="1504"/>
      <c r="CN17" s="1504"/>
      <c r="CO17" s="1504"/>
      <c r="CP17" s="1504"/>
      <c r="CQ17" s="1504"/>
      <c r="CR17" s="1504"/>
      <c r="CS17" s="1504"/>
      <c r="CT17" s="1504"/>
      <c r="CU17" s="1504"/>
      <c r="CV17" s="1504"/>
      <c r="CW17" s="1504"/>
      <c r="CX17" s="1504"/>
      <c r="CY17" s="1504"/>
      <c r="CZ17" s="1504"/>
      <c r="DA17" s="1504"/>
      <c r="DB17" s="1504"/>
      <c r="DC17" s="1504"/>
      <c r="DD17" s="1504"/>
      <c r="DE17" s="1504"/>
      <c r="DF17" s="1504"/>
      <c r="DG17" s="1504"/>
      <c r="DH17" s="1504"/>
      <c r="DI17" s="1504"/>
      <c r="DJ17" s="1504"/>
      <c r="DK17" s="1504"/>
      <c r="DL17" s="1504"/>
      <c r="DM17" s="1504"/>
      <c r="DN17" s="1504"/>
      <c r="DO17" s="1504"/>
      <c r="DP17" s="1504"/>
      <c r="DQ17" s="1504"/>
      <c r="DR17" s="1504"/>
      <c r="DS17" s="1504"/>
      <c r="DT17" s="1504"/>
      <c r="DU17" s="1504"/>
      <c r="DV17" s="1504"/>
      <c r="DW17" s="1504"/>
      <c r="DX17" s="1504"/>
      <c r="DY17" s="1504"/>
      <c r="DZ17" s="1504"/>
      <c r="EA17" s="1504"/>
      <c r="EB17" s="1504"/>
      <c r="EC17" s="1504"/>
      <c r="ED17" s="1504"/>
      <c r="EE17" s="1504"/>
      <c r="EF17" s="1504"/>
      <c r="EG17" s="1504"/>
      <c r="EH17" s="1504"/>
      <c r="EI17" s="1504"/>
      <c r="EJ17" s="1504"/>
      <c r="EK17" s="1504"/>
      <c r="EL17" s="1504"/>
      <c r="EM17" s="1504"/>
      <c r="EN17" s="1504"/>
      <c r="EO17" s="1504"/>
      <c r="EP17" s="1504"/>
      <c r="EQ17" s="1504"/>
      <c r="ER17" s="1504"/>
      <c r="ES17" s="1504"/>
      <c r="ET17" s="1504"/>
      <c r="EU17" s="1504"/>
      <c r="EV17" s="1504"/>
      <c r="EW17" s="1504"/>
      <c r="EX17" s="1504"/>
      <c r="EY17" s="1504"/>
      <c r="EZ17" s="1504"/>
      <c r="FA17" s="1504"/>
      <c r="FB17" s="1504"/>
      <c r="FC17" s="1504"/>
      <c r="FD17" s="1504"/>
      <c r="FE17" s="1504"/>
      <c r="FF17" s="1504"/>
      <c r="FG17" s="1504"/>
      <c r="FH17" s="1504"/>
      <c r="FI17" s="1504"/>
      <c r="FJ17" s="1504"/>
      <c r="FK17" s="1504"/>
      <c r="FL17" s="1504"/>
      <c r="FM17" s="1504"/>
      <c r="FN17" s="1504"/>
      <c r="FO17" s="1504"/>
      <c r="FP17" s="1504"/>
      <c r="FQ17" s="1504"/>
      <c r="FR17" s="1504"/>
      <c r="FS17" s="1504"/>
      <c r="FT17" s="1504"/>
      <c r="FU17" s="1504"/>
      <c r="FV17" s="1504"/>
      <c r="FW17" s="1504"/>
      <c r="FX17" s="1504"/>
      <c r="FY17" s="1504"/>
      <c r="FZ17" s="1504"/>
      <c r="GA17" s="1504"/>
      <c r="GB17" s="1504"/>
      <c r="GC17" s="1504"/>
      <c r="GD17" s="1504"/>
      <c r="GE17" s="1504"/>
      <c r="GF17" s="1504"/>
      <c r="GG17" s="1504"/>
      <c r="GH17" s="1504"/>
      <c r="GI17" s="1504"/>
      <c r="GJ17" s="1504"/>
      <c r="GK17" s="1504"/>
      <c r="GL17" s="1504"/>
      <c r="GM17" s="1504"/>
      <c r="GN17" s="1504"/>
      <c r="GO17" s="1504"/>
      <c r="GP17" s="1504"/>
      <c r="GQ17" s="1504"/>
      <c r="GR17" s="1504"/>
      <c r="GS17" s="1504"/>
      <c r="GT17" s="1504"/>
      <c r="GU17" s="1504"/>
      <c r="GV17" s="1504"/>
      <c r="GW17" s="1504"/>
      <c r="GX17" s="1504"/>
      <c r="GY17" s="1504"/>
      <c r="GZ17" s="1504"/>
      <c r="HA17" s="1504"/>
      <c r="HB17" s="1504"/>
      <c r="HC17" s="1504"/>
      <c r="HD17" s="1504"/>
      <c r="HE17" s="1504"/>
      <c r="HF17" s="1504"/>
      <c r="HG17" s="1504"/>
      <c r="HH17" s="1504"/>
      <c r="HI17" s="1504"/>
      <c r="HJ17" s="1504"/>
      <c r="HK17" s="1504"/>
      <c r="HL17" s="1504"/>
      <c r="HM17" s="1504"/>
      <c r="HN17" s="1504"/>
      <c r="HO17" s="1504"/>
      <c r="HP17" s="1504"/>
      <c r="HQ17" s="1504"/>
      <c r="HR17" s="1504"/>
      <c r="HS17" s="1504"/>
      <c r="HT17" s="1504"/>
      <c r="HU17" s="1504"/>
      <c r="HV17" s="1504"/>
      <c r="HW17" s="1504"/>
      <c r="HX17" s="1504"/>
      <c r="HY17" s="1504"/>
      <c r="HZ17" s="1504"/>
      <c r="IA17" s="1504"/>
      <c r="IB17" s="1504"/>
      <c r="IC17" s="1504"/>
      <c r="ID17" s="1504"/>
      <c r="IE17" s="1504"/>
      <c r="IF17" s="1504"/>
      <c r="IG17" s="1504"/>
      <c r="IH17" s="1504"/>
      <c r="II17" s="1504"/>
      <c r="IJ17" s="1504"/>
      <c r="IK17" s="1504"/>
      <c r="IL17" s="1504"/>
      <c r="IM17" s="1504"/>
      <c r="IN17" s="1504"/>
      <c r="IO17" s="1504"/>
      <c r="IP17" s="1504"/>
      <c r="IQ17" s="1504"/>
      <c r="IR17" s="1504"/>
      <c r="IS17" s="1504"/>
      <c r="IT17" s="1504"/>
      <c r="IU17" s="1504"/>
      <c r="IV17" s="1504"/>
    </row>
    <row r="18" spans="1:256">
      <c r="A18" s="1497">
        <f>+A14+1</f>
        <v>5</v>
      </c>
      <c r="B18" s="1494" t="s">
        <v>510</v>
      </c>
      <c r="C18" s="609">
        <f>+H12</f>
        <v>0</v>
      </c>
      <c r="D18" s="609">
        <f>C18</f>
        <v>0</v>
      </c>
      <c r="E18" s="1494"/>
      <c r="F18" s="443">
        <v>365</v>
      </c>
      <c r="G18" s="1505">
        <f>F18/$F$18</f>
        <v>1</v>
      </c>
      <c r="H18" s="609">
        <f>C18*G18</f>
        <v>0</v>
      </c>
      <c r="I18" s="609">
        <f>H18</f>
        <v>0</v>
      </c>
      <c r="J18" s="1493"/>
      <c r="K18" s="1493"/>
      <c r="L18" s="1493"/>
      <c r="M18" s="1493"/>
      <c r="N18" s="1493"/>
      <c r="O18" s="1493"/>
      <c r="P18" s="1493"/>
      <c r="Q18" s="1493"/>
      <c r="R18" s="1493"/>
      <c r="S18" s="1493"/>
      <c r="T18" s="1493"/>
      <c r="U18" s="1493"/>
      <c r="V18" s="1493"/>
      <c r="W18" s="1493"/>
      <c r="X18" s="1493"/>
      <c r="Y18" s="1493"/>
      <c r="Z18" s="1493"/>
      <c r="AA18" s="1493"/>
      <c r="AB18" s="1493"/>
      <c r="AC18" s="1493"/>
      <c r="AD18" s="1493"/>
      <c r="AE18" s="1493"/>
      <c r="AF18" s="1493"/>
      <c r="AG18" s="1493"/>
      <c r="AH18" s="1493"/>
      <c r="AI18" s="1493"/>
      <c r="AJ18" s="1493"/>
      <c r="AK18" s="1493"/>
      <c r="AL18" s="1493"/>
      <c r="AM18" s="1493"/>
      <c r="AN18" s="1493"/>
      <c r="AO18" s="1493"/>
      <c r="AP18" s="1493"/>
      <c r="AQ18" s="1493"/>
      <c r="AR18" s="1493"/>
      <c r="AS18" s="1493"/>
      <c r="AT18" s="1493"/>
      <c r="AU18" s="1493"/>
      <c r="AV18" s="1493"/>
      <c r="AW18" s="1493"/>
      <c r="AX18" s="1493"/>
      <c r="AY18" s="1493"/>
      <c r="AZ18" s="1493"/>
      <c r="BA18" s="1493"/>
      <c r="BB18" s="1493"/>
      <c r="BC18" s="1493"/>
      <c r="BD18" s="1493"/>
      <c r="BE18" s="1493"/>
      <c r="BF18" s="1493"/>
      <c r="BG18" s="1493"/>
      <c r="BH18" s="1493"/>
      <c r="BI18" s="1493"/>
      <c r="BJ18" s="1493"/>
      <c r="BK18" s="1493"/>
      <c r="BL18" s="1493"/>
      <c r="BM18" s="1493"/>
      <c r="BN18" s="1493"/>
      <c r="BO18" s="1493"/>
      <c r="BP18" s="1493"/>
      <c r="BQ18" s="1493"/>
      <c r="BR18" s="1493"/>
      <c r="BS18" s="1493"/>
      <c r="BT18" s="1493"/>
      <c r="BU18" s="1493"/>
      <c r="BV18" s="1493"/>
      <c r="BW18" s="1493"/>
      <c r="BX18" s="1493"/>
      <c r="BY18" s="1493"/>
      <c r="BZ18" s="1493"/>
      <c r="CA18" s="1493"/>
      <c r="CB18" s="1493"/>
      <c r="CC18" s="1493"/>
      <c r="CD18" s="1493"/>
      <c r="CE18" s="1493"/>
      <c r="CF18" s="1493"/>
      <c r="CG18" s="1493"/>
      <c r="CH18" s="1493"/>
      <c r="CI18" s="1493"/>
      <c r="CJ18" s="1493"/>
      <c r="CK18" s="1493"/>
      <c r="CL18" s="1493"/>
      <c r="CM18" s="1493"/>
      <c r="CN18" s="1493"/>
      <c r="CO18" s="1493"/>
      <c r="CP18" s="1493"/>
      <c r="CQ18" s="1493"/>
      <c r="CR18" s="1493"/>
      <c r="CS18" s="1493"/>
      <c r="CT18" s="1493"/>
      <c r="CU18" s="1493"/>
      <c r="CV18" s="1493"/>
      <c r="CW18" s="1493"/>
      <c r="CX18" s="1493"/>
      <c r="CY18" s="1493"/>
      <c r="CZ18" s="1493"/>
      <c r="DA18" s="1493"/>
      <c r="DB18" s="1493"/>
      <c r="DC18" s="1493"/>
      <c r="DD18" s="1493"/>
      <c r="DE18" s="1493"/>
      <c r="DF18" s="1493"/>
      <c r="DG18" s="1493"/>
      <c r="DH18" s="1493"/>
      <c r="DI18" s="1493"/>
      <c r="DJ18" s="1493"/>
      <c r="DK18" s="1493"/>
      <c r="DL18" s="1493"/>
      <c r="DM18" s="1493"/>
      <c r="DN18" s="1493"/>
      <c r="DO18" s="1493"/>
      <c r="DP18" s="1493"/>
      <c r="DQ18" s="1493"/>
      <c r="DR18" s="1493"/>
      <c r="DS18" s="1493"/>
      <c r="DT18" s="1493"/>
      <c r="DU18" s="1493"/>
      <c r="DV18" s="1493"/>
      <c r="DW18" s="1493"/>
      <c r="DX18" s="1493"/>
      <c r="DY18" s="1493"/>
      <c r="DZ18" s="1493"/>
      <c r="EA18" s="1493"/>
      <c r="EB18" s="1493"/>
      <c r="EC18" s="1493"/>
      <c r="ED18" s="1493"/>
      <c r="EE18" s="1493"/>
      <c r="EF18" s="1493"/>
      <c r="EG18" s="1493"/>
      <c r="EH18" s="1493"/>
      <c r="EI18" s="1493"/>
      <c r="EJ18" s="1493"/>
      <c r="EK18" s="1493"/>
      <c r="EL18" s="1493"/>
      <c r="EM18" s="1493"/>
      <c r="EN18" s="1493"/>
      <c r="EO18" s="1493"/>
      <c r="EP18" s="1493"/>
      <c r="EQ18" s="1493"/>
      <c r="ER18" s="1493"/>
      <c r="ES18" s="1493"/>
      <c r="ET18" s="1493"/>
      <c r="EU18" s="1493"/>
      <c r="EV18" s="1493"/>
      <c r="EW18" s="1493"/>
      <c r="EX18" s="1493"/>
      <c r="EY18" s="1493"/>
      <c r="EZ18" s="1493"/>
      <c r="FA18" s="1493"/>
      <c r="FB18" s="1493"/>
      <c r="FC18" s="1493"/>
      <c r="FD18" s="1493"/>
      <c r="FE18" s="1493"/>
      <c r="FF18" s="1493"/>
      <c r="FG18" s="1493"/>
      <c r="FH18" s="1493"/>
      <c r="FI18" s="1493"/>
      <c r="FJ18" s="1493"/>
      <c r="FK18" s="1493"/>
      <c r="FL18" s="1493"/>
      <c r="FM18" s="1493"/>
      <c r="FN18" s="1493"/>
      <c r="FO18" s="1493"/>
      <c r="FP18" s="1493"/>
      <c r="FQ18" s="1493"/>
      <c r="FR18" s="1493"/>
      <c r="FS18" s="1493"/>
      <c r="FT18" s="1493"/>
      <c r="FU18" s="1493"/>
      <c r="FV18" s="1493"/>
      <c r="FW18" s="1493"/>
      <c r="FX18" s="1493"/>
      <c r="FY18" s="1493"/>
      <c r="FZ18" s="1493"/>
      <c r="GA18" s="1493"/>
      <c r="GB18" s="1493"/>
      <c r="GC18" s="1493"/>
      <c r="GD18" s="1493"/>
      <c r="GE18" s="1493"/>
      <c r="GF18" s="1493"/>
      <c r="GG18" s="1493"/>
      <c r="GH18" s="1493"/>
      <c r="GI18" s="1493"/>
      <c r="GJ18" s="1493"/>
      <c r="GK18" s="1493"/>
      <c r="GL18" s="1493"/>
      <c r="GM18" s="1493"/>
      <c r="GN18" s="1493"/>
      <c r="GO18" s="1493"/>
      <c r="GP18" s="1493"/>
      <c r="GQ18" s="1493"/>
      <c r="GR18" s="1493"/>
      <c r="GS18" s="1493"/>
      <c r="GT18" s="1493"/>
      <c r="GU18" s="1493"/>
      <c r="GV18" s="1493"/>
      <c r="GW18" s="1493"/>
      <c r="GX18" s="1493"/>
      <c r="GY18" s="1493"/>
      <c r="GZ18" s="1493"/>
      <c r="HA18" s="1493"/>
      <c r="HB18" s="1493"/>
      <c r="HC18" s="1493"/>
      <c r="HD18" s="1493"/>
      <c r="HE18" s="1493"/>
      <c r="HF18" s="1493"/>
      <c r="HG18" s="1493"/>
      <c r="HH18" s="1493"/>
      <c r="HI18" s="1493"/>
      <c r="HJ18" s="1493"/>
      <c r="HK18" s="1493"/>
      <c r="HL18" s="1493"/>
      <c r="HM18" s="1493"/>
      <c r="HN18" s="1493"/>
      <c r="HO18" s="1493"/>
      <c r="HP18" s="1493"/>
      <c r="HQ18" s="1493"/>
      <c r="HR18" s="1493"/>
      <c r="HS18" s="1493"/>
      <c r="HT18" s="1493"/>
      <c r="HU18" s="1493"/>
      <c r="HV18" s="1493"/>
      <c r="HW18" s="1493"/>
      <c r="HX18" s="1493"/>
      <c r="HY18" s="1493"/>
      <c r="HZ18" s="1493"/>
      <c r="IA18" s="1493"/>
      <c r="IB18" s="1493"/>
      <c r="IC18" s="1493"/>
      <c r="ID18" s="1493"/>
      <c r="IE18" s="1493"/>
      <c r="IF18" s="1493"/>
      <c r="IG18" s="1493"/>
      <c r="IH18" s="1493"/>
      <c r="II18" s="1493"/>
      <c r="IJ18" s="1493"/>
      <c r="IK18" s="1493"/>
      <c r="IL18" s="1493"/>
      <c r="IM18" s="1493"/>
      <c r="IN18" s="1493"/>
      <c r="IO18" s="1493"/>
      <c r="IP18" s="1493"/>
      <c r="IQ18" s="1493"/>
      <c r="IR18" s="1493"/>
      <c r="IS18" s="1493"/>
      <c r="IT18" s="1493"/>
      <c r="IU18" s="1493"/>
      <c r="IV18" s="1493"/>
    </row>
    <row r="19" spans="1:256">
      <c r="A19" s="1497">
        <f>+A18+1</f>
        <v>6</v>
      </c>
      <c r="B19" s="1494" t="s">
        <v>511</v>
      </c>
      <c r="C19" s="609">
        <f>+$H$14</f>
        <v>0</v>
      </c>
      <c r="D19" s="609">
        <f>D18+C19</f>
        <v>0</v>
      </c>
      <c r="E19" s="1494">
        <v>31</v>
      </c>
      <c r="F19" s="443">
        <v>335</v>
      </c>
      <c r="G19" s="1505">
        <f t="shared" ref="G19:G30" si="0">F19/$F$18</f>
        <v>0.9178082191780822</v>
      </c>
      <c r="H19" s="609">
        <f t="shared" ref="H19:H30" si="1">C19*G19</f>
        <v>0</v>
      </c>
      <c r="I19" s="609">
        <f>I18+H19</f>
        <v>0</v>
      </c>
      <c r="J19" s="1493"/>
      <c r="K19" s="1493"/>
      <c r="L19" s="1493"/>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493"/>
      <c r="AS19" s="1493"/>
      <c r="AT19" s="1493"/>
      <c r="AU19" s="1493"/>
      <c r="AV19" s="1493"/>
      <c r="AW19" s="1493"/>
      <c r="AX19" s="1493"/>
      <c r="AY19" s="1493"/>
      <c r="AZ19" s="1493"/>
      <c r="BA19" s="1493"/>
      <c r="BB19" s="1493"/>
      <c r="BC19" s="1493"/>
      <c r="BD19" s="1493"/>
      <c r="BE19" s="1493"/>
      <c r="BF19" s="1493"/>
      <c r="BG19" s="1493"/>
      <c r="BH19" s="1493"/>
      <c r="BI19" s="1493"/>
      <c r="BJ19" s="1493"/>
      <c r="BK19" s="1493"/>
      <c r="BL19" s="1493"/>
      <c r="BM19" s="1493"/>
      <c r="BN19" s="1493"/>
      <c r="BO19" s="1493"/>
      <c r="BP19" s="1493"/>
      <c r="BQ19" s="1493"/>
      <c r="BR19" s="1493"/>
      <c r="BS19" s="1493"/>
      <c r="BT19" s="1493"/>
      <c r="BU19" s="1493"/>
      <c r="BV19" s="1493"/>
      <c r="BW19" s="1493"/>
      <c r="BX19" s="1493"/>
      <c r="BY19" s="1493"/>
      <c r="BZ19" s="1493"/>
      <c r="CA19" s="1493"/>
      <c r="CB19" s="1493"/>
      <c r="CC19" s="1493"/>
      <c r="CD19" s="1493"/>
      <c r="CE19" s="1493"/>
      <c r="CF19" s="1493"/>
      <c r="CG19" s="1493"/>
      <c r="CH19" s="1493"/>
      <c r="CI19" s="1493"/>
      <c r="CJ19" s="1493"/>
      <c r="CK19" s="1493"/>
      <c r="CL19" s="1493"/>
      <c r="CM19" s="1493"/>
      <c r="CN19" s="1493"/>
      <c r="CO19" s="1493"/>
      <c r="CP19" s="1493"/>
      <c r="CQ19" s="1493"/>
      <c r="CR19" s="1493"/>
      <c r="CS19" s="1493"/>
      <c r="CT19" s="1493"/>
      <c r="CU19" s="1493"/>
      <c r="CV19" s="1493"/>
      <c r="CW19" s="1493"/>
      <c r="CX19" s="1493"/>
      <c r="CY19" s="1493"/>
      <c r="CZ19" s="1493"/>
      <c r="DA19" s="1493"/>
      <c r="DB19" s="1493"/>
      <c r="DC19" s="1493"/>
      <c r="DD19" s="1493"/>
      <c r="DE19" s="1493"/>
      <c r="DF19" s="1493"/>
      <c r="DG19" s="1493"/>
      <c r="DH19" s="1493"/>
      <c r="DI19" s="1493"/>
      <c r="DJ19" s="1493"/>
      <c r="DK19" s="1493"/>
      <c r="DL19" s="1493"/>
      <c r="DM19" s="1493"/>
      <c r="DN19" s="1493"/>
      <c r="DO19" s="1493"/>
      <c r="DP19" s="1493"/>
      <c r="DQ19" s="1493"/>
      <c r="DR19" s="1493"/>
      <c r="DS19" s="1493"/>
      <c r="DT19" s="1493"/>
      <c r="DU19" s="1493"/>
      <c r="DV19" s="1493"/>
      <c r="DW19" s="1493"/>
      <c r="DX19" s="1493"/>
      <c r="DY19" s="1493"/>
      <c r="DZ19" s="1493"/>
      <c r="EA19" s="1493"/>
      <c r="EB19" s="1493"/>
      <c r="EC19" s="1493"/>
      <c r="ED19" s="1493"/>
      <c r="EE19" s="1493"/>
      <c r="EF19" s="1493"/>
      <c r="EG19" s="1493"/>
      <c r="EH19" s="1493"/>
      <c r="EI19" s="1493"/>
      <c r="EJ19" s="1493"/>
      <c r="EK19" s="1493"/>
      <c r="EL19" s="1493"/>
      <c r="EM19" s="1493"/>
      <c r="EN19" s="1493"/>
      <c r="EO19" s="1493"/>
      <c r="EP19" s="1493"/>
      <c r="EQ19" s="1493"/>
      <c r="ER19" s="1493"/>
      <c r="ES19" s="1493"/>
      <c r="ET19" s="1493"/>
      <c r="EU19" s="1493"/>
      <c r="EV19" s="1493"/>
      <c r="EW19" s="1493"/>
      <c r="EX19" s="1493"/>
      <c r="EY19" s="1493"/>
      <c r="EZ19" s="1493"/>
      <c r="FA19" s="1493"/>
      <c r="FB19" s="1493"/>
      <c r="FC19" s="1493"/>
      <c r="FD19" s="1493"/>
      <c r="FE19" s="1493"/>
      <c r="FF19" s="1493"/>
      <c r="FG19" s="1493"/>
      <c r="FH19" s="1493"/>
      <c r="FI19" s="1493"/>
      <c r="FJ19" s="1493"/>
      <c r="FK19" s="1493"/>
      <c r="FL19" s="1493"/>
      <c r="FM19" s="1493"/>
      <c r="FN19" s="1493"/>
      <c r="FO19" s="1493"/>
      <c r="FP19" s="1493"/>
      <c r="FQ19" s="1493"/>
      <c r="FR19" s="1493"/>
      <c r="FS19" s="1493"/>
      <c r="FT19" s="1493"/>
      <c r="FU19" s="1493"/>
      <c r="FV19" s="1493"/>
      <c r="FW19" s="1493"/>
      <c r="FX19" s="1493"/>
      <c r="FY19" s="1493"/>
      <c r="FZ19" s="1493"/>
      <c r="GA19" s="1493"/>
      <c r="GB19" s="1493"/>
      <c r="GC19" s="1493"/>
      <c r="GD19" s="1493"/>
      <c r="GE19" s="1493"/>
      <c r="GF19" s="1493"/>
      <c r="GG19" s="1493"/>
      <c r="GH19" s="1493"/>
      <c r="GI19" s="1493"/>
      <c r="GJ19" s="1493"/>
      <c r="GK19" s="1493"/>
      <c r="GL19" s="1493"/>
      <c r="GM19" s="1493"/>
      <c r="GN19" s="1493"/>
      <c r="GO19" s="1493"/>
      <c r="GP19" s="1493"/>
      <c r="GQ19" s="1493"/>
      <c r="GR19" s="1493"/>
      <c r="GS19" s="1493"/>
      <c r="GT19" s="1493"/>
      <c r="GU19" s="1493"/>
      <c r="GV19" s="1493"/>
      <c r="GW19" s="1493"/>
      <c r="GX19" s="1493"/>
      <c r="GY19" s="1493"/>
      <c r="GZ19" s="1493"/>
      <c r="HA19" s="1493"/>
      <c r="HB19" s="1493"/>
      <c r="HC19" s="1493"/>
      <c r="HD19" s="1493"/>
      <c r="HE19" s="1493"/>
      <c r="HF19" s="1493"/>
      <c r="HG19" s="1493"/>
      <c r="HH19" s="1493"/>
      <c r="HI19" s="1493"/>
      <c r="HJ19" s="1493"/>
      <c r="HK19" s="1493"/>
      <c r="HL19" s="1493"/>
      <c r="HM19" s="1493"/>
      <c r="HN19" s="1493"/>
      <c r="HO19" s="1493"/>
      <c r="HP19" s="1493"/>
      <c r="HQ19" s="1493"/>
      <c r="HR19" s="1493"/>
      <c r="HS19" s="1493"/>
      <c r="HT19" s="1493"/>
      <c r="HU19" s="1493"/>
      <c r="HV19" s="1493"/>
      <c r="HW19" s="1493"/>
      <c r="HX19" s="1493"/>
      <c r="HY19" s="1493"/>
      <c r="HZ19" s="1493"/>
      <c r="IA19" s="1493"/>
      <c r="IB19" s="1493"/>
      <c r="IC19" s="1493"/>
      <c r="ID19" s="1493"/>
      <c r="IE19" s="1493"/>
      <c r="IF19" s="1493"/>
      <c r="IG19" s="1493"/>
      <c r="IH19" s="1493"/>
      <c r="II19" s="1493"/>
      <c r="IJ19" s="1493"/>
      <c r="IK19" s="1493"/>
      <c r="IL19" s="1493"/>
      <c r="IM19" s="1493"/>
      <c r="IN19" s="1493"/>
      <c r="IO19" s="1493"/>
      <c r="IP19" s="1493"/>
      <c r="IQ19" s="1493"/>
      <c r="IR19" s="1493"/>
      <c r="IS19" s="1493"/>
      <c r="IT19" s="1493"/>
      <c r="IU19" s="1493"/>
      <c r="IV19" s="1493"/>
    </row>
    <row r="20" spans="1:256">
      <c r="A20" s="1497">
        <f t="shared" ref="A20:A30" si="2">+A19+1</f>
        <v>7</v>
      </c>
      <c r="B20" s="1494" t="s">
        <v>512</v>
      </c>
      <c r="C20" s="609">
        <f t="shared" ref="C20:C30" si="3">+$H$14</f>
        <v>0</v>
      </c>
      <c r="D20" s="609">
        <f>D19+C20</f>
        <v>0</v>
      </c>
      <c r="E20" s="443">
        <v>28</v>
      </c>
      <c r="F20" s="443">
        <v>307</v>
      </c>
      <c r="G20" s="1505">
        <f t="shared" si="0"/>
        <v>0.84109589041095889</v>
      </c>
      <c r="H20" s="609">
        <f t="shared" si="1"/>
        <v>0</v>
      </c>
      <c r="I20" s="609">
        <f t="shared" ref="I20:I30" si="4">I19+H20</f>
        <v>0</v>
      </c>
      <c r="J20" s="1493"/>
      <c r="K20" s="1493"/>
      <c r="L20" s="1493"/>
      <c r="M20" s="1493"/>
      <c r="N20" s="1493"/>
      <c r="O20" s="1493"/>
      <c r="P20" s="1493"/>
      <c r="Q20" s="1493"/>
      <c r="R20" s="1493"/>
      <c r="S20" s="1493"/>
      <c r="T20" s="1493"/>
      <c r="U20" s="1493"/>
      <c r="V20" s="1493"/>
      <c r="W20" s="1493"/>
      <c r="X20" s="1493"/>
      <c r="Y20" s="1493"/>
      <c r="Z20" s="1493"/>
      <c r="AA20" s="1493"/>
      <c r="AB20" s="1493"/>
      <c r="AC20" s="1493"/>
      <c r="AD20" s="1493"/>
      <c r="AE20" s="1493"/>
      <c r="AF20" s="1493"/>
      <c r="AG20" s="1493"/>
      <c r="AH20" s="1493"/>
      <c r="AI20" s="1493"/>
      <c r="AJ20" s="1493"/>
      <c r="AK20" s="1493"/>
      <c r="AL20" s="1493"/>
      <c r="AM20" s="1493"/>
      <c r="AN20" s="1493"/>
      <c r="AO20" s="1493"/>
      <c r="AP20" s="1493"/>
      <c r="AQ20" s="1493"/>
      <c r="AR20" s="1493"/>
      <c r="AS20" s="1493"/>
      <c r="AT20" s="1493"/>
      <c r="AU20" s="1493"/>
      <c r="AV20" s="1493"/>
      <c r="AW20" s="1493"/>
      <c r="AX20" s="1493"/>
      <c r="AY20" s="1493"/>
      <c r="AZ20" s="1493"/>
      <c r="BA20" s="1493"/>
      <c r="BB20" s="1493"/>
      <c r="BC20" s="1493"/>
      <c r="BD20" s="1493"/>
      <c r="BE20" s="1493"/>
      <c r="BF20" s="1493"/>
      <c r="BG20" s="1493"/>
      <c r="BH20" s="1493"/>
      <c r="BI20" s="1493"/>
      <c r="BJ20" s="1493"/>
      <c r="BK20" s="1493"/>
      <c r="BL20" s="1493"/>
      <c r="BM20" s="1493"/>
      <c r="BN20" s="1493"/>
      <c r="BO20" s="1493"/>
      <c r="BP20" s="1493"/>
      <c r="BQ20" s="1493"/>
      <c r="BR20" s="1493"/>
      <c r="BS20" s="1493"/>
      <c r="BT20" s="1493"/>
      <c r="BU20" s="1493"/>
      <c r="BV20" s="1493"/>
      <c r="BW20" s="1493"/>
      <c r="BX20" s="1493"/>
      <c r="BY20" s="1493"/>
      <c r="BZ20" s="1493"/>
      <c r="CA20" s="1493"/>
      <c r="CB20" s="1493"/>
      <c r="CC20" s="1493"/>
      <c r="CD20" s="1493"/>
      <c r="CE20" s="1493"/>
      <c r="CF20" s="1493"/>
      <c r="CG20" s="1493"/>
      <c r="CH20" s="1493"/>
      <c r="CI20" s="1493"/>
      <c r="CJ20" s="1493"/>
      <c r="CK20" s="1493"/>
      <c r="CL20" s="1493"/>
      <c r="CM20" s="1493"/>
      <c r="CN20" s="1493"/>
      <c r="CO20" s="1493"/>
      <c r="CP20" s="1493"/>
      <c r="CQ20" s="1493"/>
      <c r="CR20" s="1493"/>
      <c r="CS20" s="1493"/>
      <c r="CT20" s="1493"/>
      <c r="CU20" s="1493"/>
      <c r="CV20" s="1493"/>
      <c r="CW20" s="1493"/>
      <c r="CX20" s="1493"/>
      <c r="CY20" s="1493"/>
      <c r="CZ20" s="1493"/>
      <c r="DA20" s="1493"/>
      <c r="DB20" s="1493"/>
      <c r="DC20" s="1493"/>
      <c r="DD20" s="1493"/>
      <c r="DE20" s="1493"/>
      <c r="DF20" s="1493"/>
      <c r="DG20" s="1493"/>
      <c r="DH20" s="1493"/>
      <c r="DI20" s="1493"/>
      <c r="DJ20" s="1493"/>
      <c r="DK20" s="1493"/>
      <c r="DL20" s="1493"/>
      <c r="DM20" s="1493"/>
      <c r="DN20" s="1493"/>
      <c r="DO20" s="1493"/>
      <c r="DP20" s="1493"/>
      <c r="DQ20" s="1493"/>
      <c r="DR20" s="1493"/>
      <c r="DS20" s="1493"/>
      <c r="DT20" s="1493"/>
      <c r="DU20" s="1493"/>
      <c r="DV20" s="1493"/>
      <c r="DW20" s="1493"/>
      <c r="DX20" s="1493"/>
      <c r="DY20" s="1493"/>
      <c r="DZ20" s="1493"/>
      <c r="EA20" s="1493"/>
      <c r="EB20" s="1493"/>
      <c r="EC20" s="1493"/>
      <c r="ED20" s="1493"/>
      <c r="EE20" s="1493"/>
      <c r="EF20" s="1493"/>
      <c r="EG20" s="1493"/>
      <c r="EH20" s="1493"/>
      <c r="EI20" s="1493"/>
      <c r="EJ20" s="1493"/>
      <c r="EK20" s="1493"/>
      <c r="EL20" s="1493"/>
      <c r="EM20" s="1493"/>
      <c r="EN20" s="1493"/>
      <c r="EO20" s="1493"/>
      <c r="EP20" s="1493"/>
      <c r="EQ20" s="1493"/>
      <c r="ER20" s="1493"/>
      <c r="ES20" s="1493"/>
      <c r="ET20" s="1493"/>
      <c r="EU20" s="1493"/>
      <c r="EV20" s="1493"/>
      <c r="EW20" s="1493"/>
      <c r="EX20" s="1493"/>
      <c r="EY20" s="1493"/>
      <c r="EZ20" s="1493"/>
      <c r="FA20" s="1493"/>
      <c r="FB20" s="1493"/>
      <c r="FC20" s="1493"/>
      <c r="FD20" s="1493"/>
      <c r="FE20" s="1493"/>
      <c r="FF20" s="1493"/>
      <c r="FG20" s="1493"/>
      <c r="FH20" s="1493"/>
      <c r="FI20" s="1493"/>
      <c r="FJ20" s="1493"/>
      <c r="FK20" s="1493"/>
      <c r="FL20" s="1493"/>
      <c r="FM20" s="1493"/>
      <c r="FN20" s="1493"/>
      <c r="FO20" s="1493"/>
      <c r="FP20" s="1493"/>
      <c r="FQ20" s="1493"/>
      <c r="FR20" s="1493"/>
      <c r="FS20" s="1493"/>
      <c r="FT20" s="1493"/>
      <c r="FU20" s="1493"/>
      <c r="FV20" s="1493"/>
      <c r="FW20" s="1493"/>
      <c r="FX20" s="1493"/>
      <c r="FY20" s="1493"/>
      <c r="FZ20" s="1493"/>
      <c r="GA20" s="1493"/>
      <c r="GB20" s="1493"/>
      <c r="GC20" s="1493"/>
      <c r="GD20" s="1493"/>
      <c r="GE20" s="1493"/>
      <c r="GF20" s="1493"/>
      <c r="GG20" s="1493"/>
      <c r="GH20" s="1493"/>
      <c r="GI20" s="1493"/>
      <c r="GJ20" s="1493"/>
      <c r="GK20" s="1493"/>
      <c r="GL20" s="1493"/>
      <c r="GM20" s="1493"/>
      <c r="GN20" s="1493"/>
      <c r="GO20" s="1493"/>
      <c r="GP20" s="1493"/>
      <c r="GQ20" s="1493"/>
      <c r="GR20" s="1493"/>
      <c r="GS20" s="1493"/>
      <c r="GT20" s="1493"/>
      <c r="GU20" s="1493"/>
      <c r="GV20" s="1493"/>
      <c r="GW20" s="1493"/>
      <c r="GX20" s="1493"/>
      <c r="GY20" s="1493"/>
      <c r="GZ20" s="1493"/>
      <c r="HA20" s="1493"/>
      <c r="HB20" s="1493"/>
      <c r="HC20" s="1493"/>
      <c r="HD20" s="1493"/>
      <c r="HE20" s="1493"/>
      <c r="HF20" s="1493"/>
      <c r="HG20" s="1493"/>
      <c r="HH20" s="1493"/>
      <c r="HI20" s="1493"/>
      <c r="HJ20" s="1493"/>
      <c r="HK20" s="1493"/>
      <c r="HL20" s="1493"/>
      <c r="HM20" s="1493"/>
      <c r="HN20" s="1493"/>
      <c r="HO20" s="1493"/>
      <c r="HP20" s="1493"/>
      <c r="HQ20" s="1493"/>
      <c r="HR20" s="1493"/>
      <c r="HS20" s="1493"/>
      <c r="HT20" s="1493"/>
      <c r="HU20" s="1493"/>
      <c r="HV20" s="1493"/>
      <c r="HW20" s="1493"/>
      <c r="HX20" s="1493"/>
      <c r="HY20" s="1493"/>
      <c r="HZ20" s="1493"/>
      <c r="IA20" s="1493"/>
      <c r="IB20" s="1493"/>
      <c r="IC20" s="1493"/>
      <c r="ID20" s="1493"/>
      <c r="IE20" s="1493"/>
      <c r="IF20" s="1493"/>
      <c r="IG20" s="1493"/>
      <c r="IH20" s="1493"/>
      <c r="II20" s="1493"/>
      <c r="IJ20" s="1493"/>
      <c r="IK20" s="1493"/>
      <c r="IL20" s="1493"/>
      <c r="IM20" s="1493"/>
      <c r="IN20" s="1493"/>
      <c r="IO20" s="1493"/>
      <c r="IP20" s="1493"/>
      <c r="IQ20" s="1493"/>
      <c r="IR20" s="1493"/>
      <c r="IS20" s="1493"/>
      <c r="IT20" s="1493"/>
      <c r="IU20" s="1493"/>
      <c r="IV20" s="1493"/>
    </row>
    <row r="21" spans="1:256">
      <c r="A21" s="1497">
        <f t="shared" si="2"/>
        <v>8</v>
      </c>
      <c r="B21" s="1494" t="s">
        <v>320</v>
      </c>
      <c r="C21" s="609">
        <f t="shared" si="3"/>
        <v>0</v>
      </c>
      <c r="D21" s="609">
        <f>D20+C21</f>
        <v>0</v>
      </c>
      <c r="E21" s="1494">
        <v>31</v>
      </c>
      <c r="F21" s="443">
        <v>276</v>
      </c>
      <c r="G21" s="1505">
        <f t="shared" si="0"/>
        <v>0.75616438356164384</v>
      </c>
      <c r="H21" s="609">
        <f t="shared" si="1"/>
        <v>0</v>
      </c>
      <c r="I21" s="609">
        <f t="shared" si="4"/>
        <v>0</v>
      </c>
      <c r="J21" s="1493"/>
      <c r="K21" s="1493"/>
      <c r="L21" s="1493"/>
      <c r="M21" s="1493"/>
      <c r="N21" s="1493"/>
      <c r="O21" s="1493"/>
      <c r="P21" s="1493"/>
      <c r="Q21" s="1493"/>
      <c r="R21" s="1493"/>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493"/>
      <c r="AS21" s="1493"/>
      <c r="AT21" s="1493"/>
      <c r="AU21" s="1493"/>
      <c r="AV21" s="1493"/>
      <c r="AW21" s="1493"/>
      <c r="AX21" s="1493"/>
      <c r="AY21" s="1493"/>
      <c r="AZ21" s="1493"/>
      <c r="BA21" s="1493"/>
      <c r="BB21" s="1493"/>
      <c r="BC21" s="1493"/>
      <c r="BD21" s="1493"/>
      <c r="BE21" s="1493"/>
      <c r="BF21" s="1493"/>
      <c r="BG21" s="1493"/>
      <c r="BH21" s="1493"/>
      <c r="BI21" s="1493"/>
      <c r="BJ21" s="1493"/>
      <c r="BK21" s="1493"/>
      <c r="BL21" s="1493"/>
      <c r="BM21" s="1493"/>
      <c r="BN21" s="1493"/>
      <c r="BO21" s="1493"/>
      <c r="BP21" s="1493"/>
      <c r="BQ21" s="1493"/>
      <c r="BR21" s="1493"/>
      <c r="BS21" s="1493"/>
      <c r="BT21" s="1493"/>
      <c r="BU21" s="1493"/>
      <c r="BV21" s="1493"/>
      <c r="BW21" s="1493"/>
      <c r="BX21" s="1493"/>
      <c r="BY21" s="1493"/>
      <c r="BZ21" s="1493"/>
      <c r="CA21" s="1493"/>
      <c r="CB21" s="1493"/>
      <c r="CC21" s="1493"/>
      <c r="CD21" s="1493"/>
      <c r="CE21" s="1493"/>
      <c r="CF21" s="1493"/>
      <c r="CG21" s="1493"/>
      <c r="CH21" s="1493"/>
      <c r="CI21" s="1493"/>
      <c r="CJ21" s="1493"/>
      <c r="CK21" s="1493"/>
      <c r="CL21" s="1493"/>
      <c r="CM21" s="1493"/>
      <c r="CN21" s="1493"/>
      <c r="CO21" s="1493"/>
      <c r="CP21" s="1493"/>
      <c r="CQ21" s="1493"/>
      <c r="CR21" s="1493"/>
      <c r="CS21" s="1493"/>
      <c r="CT21" s="1493"/>
      <c r="CU21" s="1493"/>
      <c r="CV21" s="1493"/>
      <c r="CW21" s="1493"/>
      <c r="CX21" s="1493"/>
      <c r="CY21" s="1493"/>
      <c r="CZ21" s="1493"/>
      <c r="DA21" s="1493"/>
      <c r="DB21" s="1493"/>
      <c r="DC21" s="1493"/>
      <c r="DD21" s="1493"/>
      <c r="DE21" s="1493"/>
      <c r="DF21" s="1493"/>
      <c r="DG21" s="1493"/>
      <c r="DH21" s="1493"/>
      <c r="DI21" s="1493"/>
      <c r="DJ21" s="1493"/>
      <c r="DK21" s="1493"/>
      <c r="DL21" s="1493"/>
      <c r="DM21" s="1493"/>
      <c r="DN21" s="1493"/>
      <c r="DO21" s="1493"/>
      <c r="DP21" s="1493"/>
      <c r="DQ21" s="1493"/>
      <c r="DR21" s="1493"/>
      <c r="DS21" s="1493"/>
      <c r="DT21" s="1493"/>
      <c r="DU21" s="1493"/>
      <c r="DV21" s="1493"/>
      <c r="DW21" s="1493"/>
      <c r="DX21" s="1493"/>
      <c r="DY21" s="1493"/>
      <c r="DZ21" s="1493"/>
      <c r="EA21" s="1493"/>
      <c r="EB21" s="1493"/>
      <c r="EC21" s="1493"/>
      <c r="ED21" s="1493"/>
      <c r="EE21" s="1493"/>
      <c r="EF21" s="1493"/>
      <c r="EG21" s="1493"/>
      <c r="EH21" s="1493"/>
      <c r="EI21" s="1493"/>
      <c r="EJ21" s="1493"/>
      <c r="EK21" s="1493"/>
      <c r="EL21" s="1493"/>
      <c r="EM21" s="1493"/>
      <c r="EN21" s="1493"/>
      <c r="EO21" s="1493"/>
      <c r="EP21" s="1493"/>
      <c r="EQ21" s="1493"/>
      <c r="ER21" s="1493"/>
      <c r="ES21" s="1493"/>
      <c r="ET21" s="1493"/>
      <c r="EU21" s="1493"/>
      <c r="EV21" s="1493"/>
      <c r="EW21" s="1493"/>
      <c r="EX21" s="1493"/>
      <c r="EY21" s="1493"/>
      <c r="EZ21" s="1493"/>
      <c r="FA21" s="1493"/>
      <c r="FB21" s="1493"/>
      <c r="FC21" s="1493"/>
      <c r="FD21" s="1493"/>
      <c r="FE21" s="1493"/>
      <c r="FF21" s="1493"/>
      <c r="FG21" s="1493"/>
      <c r="FH21" s="1493"/>
      <c r="FI21" s="1493"/>
      <c r="FJ21" s="1493"/>
      <c r="FK21" s="1493"/>
      <c r="FL21" s="1493"/>
      <c r="FM21" s="1493"/>
      <c r="FN21" s="1493"/>
      <c r="FO21" s="1493"/>
      <c r="FP21" s="1493"/>
      <c r="FQ21" s="1493"/>
      <c r="FR21" s="1493"/>
      <c r="FS21" s="1493"/>
      <c r="FT21" s="1493"/>
      <c r="FU21" s="1493"/>
      <c r="FV21" s="1493"/>
      <c r="FW21" s="1493"/>
      <c r="FX21" s="1493"/>
      <c r="FY21" s="1493"/>
      <c r="FZ21" s="1493"/>
      <c r="GA21" s="1493"/>
      <c r="GB21" s="1493"/>
      <c r="GC21" s="1493"/>
      <c r="GD21" s="1493"/>
      <c r="GE21" s="1493"/>
      <c r="GF21" s="1493"/>
      <c r="GG21" s="1493"/>
      <c r="GH21" s="1493"/>
      <c r="GI21" s="1493"/>
      <c r="GJ21" s="1493"/>
      <c r="GK21" s="1493"/>
      <c r="GL21" s="1493"/>
      <c r="GM21" s="1493"/>
      <c r="GN21" s="1493"/>
      <c r="GO21" s="1493"/>
      <c r="GP21" s="1493"/>
      <c r="GQ21" s="1493"/>
      <c r="GR21" s="1493"/>
      <c r="GS21" s="1493"/>
      <c r="GT21" s="1493"/>
      <c r="GU21" s="1493"/>
      <c r="GV21" s="1493"/>
      <c r="GW21" s="1493"/>
      <c r="GX21" s="1493"/>
      <c r="GY21" s="1493"/>
      <c r="GZ21" s="1493"/>
      <c r="HA21" s="1493"/>
      <c r="HB21" s="1493"/>
      <c r="HC21" s="1493"/>
      <c r="HD21" s="1493"/>
      <c r="HE21" s="1493"/>
      <c r="HF21" s="1493"/>
      <c r="HG21" s="1493"/>
      <c r="HH21" s="1493"/>
      <c r="HI21" s="1493"/>
      <c r="HJ21" s="1493"/>
      <c r="HK21" s="1493"/>
      <c r="HL21" s="1493"/>
      <c r="HM21" s="1493"/>
      <c r="HN21" s="1493"/>
      <c r="HO21" s="1493"/>
      <c r="HP21" s="1493"/>
      <c r="HQ21" s="1493"/>
      <c r="HR21" s="1493"/>
      <c r="HS21" s="1493"/>
      <c r="HT21" s="1493"/>
      <c r="HU21" s="1493"/>
      <c r="HV21" s="1493"/>
      <c r="HW21" s="1493"/>
      <c r="HX21" s="1493"/>
      <c r="HY21" s="1493"/>
      <c r="HZ21" s="1493"/>
      <c r="IA21" s="1493"/>
      <c r="IB21" s="1493"/>
      <c r="IC21" s="1493"/>
      <c r="ID21" s="1493"/>
      <c r="IE21" s="1493"/>
      <c r="IF21" s="1493"/>
      <c r="IG21" s="1493"/>
      <c r="IH21" s="1493"/>
      <c r="II21" s="1493"/>
      <c r="IJ21" s="1493"/>
      <c r="IK21" s="1493"/>
      <c r="IL21" s="1493"/>
      <c r="IM21" s="1493"/>
      <c r="IN21" s="1493"/>
      <c r="IO21" s="1493"/>
      <c r="IP21" s="1493"/>
      <c r="IQ21" s="1493"/>
      <c r="IR21" s="1493"/>
      <c r="IS21" s="1493"/>
      <c r="IT21" s="1493"/>
      <c r="IU21" s="1493"/>
      <c r="IV21" s="1493"/>
    </row>
    <row r="22" spans="1:256">
      <c r="A22" s="1497">
        <f t="shared" si="2"/>
        <v>9</v>
      </c>
      <c r="B22" s="1494" t="s">
        <v>321</v>
      </c>
      <c r="C22" s="609">
        <f t="shared" si="3"/>
        <v>0</v>
      </c>
      <c r="D22" s="609">
        <f t="shared" ref="D22:D30" si="5">D21+C22</f>
        <v>0</v>
      </c>
      <c r="E22" s="1494">
        <v>30</v>
      </c>
      <c r="F22" s="443">
        <v>246</v>
      </c>
      <c r="G22" s="1505">
        <f t="shared" si="0"/>
        <v>0.67397260273972603</v>
      </c>
      <c r="H22" s="609">
        <f t="shared" si="1"/>
        <v>0</v>
      </c>
      <c r="I22" s="609">
        <f t="shared" si="4"/>
        <v>0</v>
      </c>
      <c r="J22" s="1493"/>
      <c r="K22" s="1493"/>
      <c r="L22" s="1493"/>
      <c r="M22" s="1493"/>
      <c r="N22" s="1493"/>
      <c r="O22" s="1493"/>
      <c r="P22" s="1493"/>
      <c r="Q22" s="1493"/>
      <c r="R22" s="1493"/>
      <c r="S22" s="1493"/>
      <c r="T22" s="1493"/>
      <c r="U22" s="1493"/>
      <c r="V22" s="1493"/>
      <c r="W22" s="1493"/>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93"/>
      <c r="BN22" s="1493"/>
      <c r="BO22" s="1493"/>
      <c r="BP22" s="1493"/>
      <c r="BQ22" s="1493"/>
      <c r="BR22" s="1493"/>
      <c r="BS22" s="1493"/>
      <c r="BT22" s="1493"/>
      <c r="BU22" s="1493"/>
      <c r="BV22" s="1493"/>
      <c r="BW22" s="1493"/>
      <c r="BX22" s="1493"/>
      <c r="BY22" s="1493"/>
      <c r="BZ22" s="1493"/>
      <c r="CA22" s="1493"/>
      <c r="CB22" s="1493"/>
      <c r="CC22" s="1493"/>
      <c r="CD22" s="1493"/>
      <c r="CE22" s="1493"/>
      <c r="CF22" s="1493"/>
      <c r="CG22" s="1493"/>
      <c r="CH22" s="1493"/>
      <c r="CI22" s="1493"/>
      <c r="CJ22" s="1493"/>
      <c r="CK22" s="1493"/>
      <c r="CL22" s="1493"/>
      <c r="CM22" s="1493"/>
      <c r="CN22" s="1493"/>
      <c r="CO22" s="1493"/>
      <c r="CP22" s="1493"/>
      <c r="CQ22" s="1493"/>
      <c r="CR22" s="1493"/>
      <c r="CS22" s="1493"/>
      <c r="CT22" s="1493"/>
      <c r="CU22" s="1493"/>
      <c r="CV22" s="1493"/>
      <c r="CW22" s="1493"/>
      <c r="CX22" s="1493"/>
      <c r="CY22" s="1493"/>
      <c r="CZ22" s="1493"/>
      <c r="DA22" s="1493"/>
      <c r="DB22" s="1493"/>
      <c r="DC22" s="1493"/>
      <c r="DD22" s="1493"/>
      <c r="DE22" s="1493"/>
      <c r="DF22" s="1493"/>
      <c r="DG22" s="1493"/>
      <c r="DH22" s="1493"/>
      <c r="DI22" s="1493"/>
      <c r="DJ22" s="1493"/>
      <c r="DK22" s="1493"/>
      <c r="DL22" s="1493"/>
      <c r="DM22" s="1493"/>
      <c r="DN22" s="1493"/>
      <c r="DO22" s="1493"/>
      <c r="DP22" s="1493"/>
      <c r="DQ22" s="1493"/>
      <c r="DR22" s="1493"/>
      <c r="DS22" s="1493"/>
      <c r="DT22" s="1493"/>
      <c r="DU22" s="1493"/>
      <c r="DV22" s="1493"/>
      <c r="DW22" s="1493"/>
      <c r="DX22" s="1493"/>
      <c r="DY22" s="1493"/>
      <c r="DZ22" s="1493"/>
      <c r="EA22" s="1493"/>
      <c r="EB22" s="1493"/>
      <c r="EC22" s="1493"/>
      <c r="ED22" s="1493"/>
      <c r="EE22" s="1493"/>
      <c r="EF22" s="1493"/>
      <c r="EG22" s="1493"/>
      <c r="EH22" s="1493"/>
      <c r="EI22" s="1493"/>
      <c r="EJ22" s="1493"/>
      <c r="EK22" s="1493"/>
      <c r="EL22" s="1493"/>
      <c r="EM22" s="1493"/>
      <c r="EN22" s="1493"/>
      <c r="EO22" s="1493"/>
      <c r="EP22" s="1493"/>
      <c r="EQ22" s="1493"/>
      <c r="ER22" s="1493"/>
      <c r="ES22" s="1493"/>
      <c r="ET22" s="1493"/>
      <c r="EU22" s="1493"/>
      <c r="EV22" s="1493"/>
      <c r="EW22" s="1493"/>
      <c r="EX22" s="1493"/>
      <c r="EY22" s="1493"/>
      <c r="EZ22" s="1493"/>
      <c r="FA22" s="1493"/>
      <c r="FB22" s="1493"/>
      <c r="FC22" s="1493"/>
      <c r="FD22" s="1493"/>
      <c r="FE22" s="1493"/>
      <c r="FF22" s="1493"/>
      <c r="FG22" s="1493"/>
      <c r="FH22" s="1493"/>
      <c r="FI22" s="1493"/>
      <c r="FJ22" s="1493"/>
      <c r="FK22" s="1493"/>
      <c r="FL22" s="1493"/>
      <c r="FM22" s="1493"/>
      <c r="FN22" s="1493"/>
      <c r="FO22" s="1493"/>
      <c r="FP22" s="1493"/>
      <c r="FQ22" s="1493"/>
      <c r="FR22" s="1493"/>
      <c r="FS22" s="1493"/>
      <c r="FT22" s="1493"/>
      <c r="FU22" s="1493"/>
      <c r="FV22" s="1493"/>
      <c r="FW22" s="1493"/>
      <c r="FX22" s="1493"/>
      <c r="FY22" s="1493"/>
      <c r="FZ22" s="1493"/>
      <c r="GA22" s="1493"/>
      <c r="GB22" s="1493"/>
      <c r="GC22" s="1493"/>
      <c r="GD22" s="1493"/>
      <c r="GE22" s="1493"/>
      <c r="GF22" s="1493"/>
      <c r="GG22" s="1493"/>
      <c r="GH22" s="1493"/>
      <c r="GI22" s="1493"/>
      <c r="GJ22" s="1493"/>
      <c r="GK22" s="1493"/>
      <c r="GL22" s="1493"/>
      <c r="GM22" s="1493"/>
      <c r="GN22" s="1493"/>
      <c r="GO22" s="1493"/>
      <c r="GP22" s="1493"/>
      <c r="GQ22" s="1493"/>
      <c r="GR22" s="1493"/>
      <c r="GS22" s="1493"/>
      <c r="GT22" s="1493"/>
      <c r="GU22" s="1493"/>
      <c r="GV22" s="1493"/>
      <c r="GW22" s="1493"/>
      <c r="GX22" s="1493"/>
      <c r="GY22" s="1493"/>
      <c r="GZ22" s="1493"/>
      <c r="HA22" s="1493"/>
      <c r="HB22" s="1493"/>
      <c r="HC22" s="1493"/>
      <c r="HD22" s="1493"/>
      <c r="HE22" s="1493"/>
      <c r="HF22" s="1493"/>
      <c r="HG22" s="1493"/>
      <c r="HH22" s="1493"/>
      <c r="HI22" s="1493"/>
      <c r="HJ22" s="1493"/>
      <c r="HK22" s="1493"/>
      <c r="HL22" s="1493"/>
      <c r="HM22" s="1493"/>
      <c r="HN22" s="1493"/>
      <c r="HO22" s="1493"/>
      <c r="HP22" s="1493"/>
      <c r="HQ22" s="1493"/>
      <c r="HR22" s="1493"/>
      <c r="HS22" s="1493"/>
      <c r="HT22" s="1493"/>
      <c r="HU22" s="1493"/>
      <c r="HV22" s="1493"/>
      <c r="HW22" s="1493"/>
      <c r="HX22" s="1493"/>
      <c r="HY22" s="1493"/>
      <c r="HZ22" s="1493"/>
      <c r="IA22" s="1493"/>
      <c r="IB22" s="1493"/>
      <c r="IC22" s="1493"/>
      <c r="ID22" s="1493"/>
      <c r="IE22" s="1493"/>
      <c r="IF22" s="1493"/>
      <c r="IG22" s="1493"/>
      <c r="IH22" s="1493"/>
      <c r="II22" s="1493"/>
      <c r="IJ22" s="1493"/>
      <c r="IK22" s="1493"/>
      <c r="IL22" s="1493"/>
      <c r="IM22" s="1493"/>
      <c r="IN22" s="1493"/>
      <c r="IO22" s="1493"/>
      <c r="IP22" s="1493"/>
      <c r="IQ22" s="1493"/>
      <c r="IR22" s="1493"/>
      <c r="IS22" s="1493"/>
      <c r="IT22" s="1493"/>
      <c r="IU22" s="1493"/>
      <c r="IV22" s="1493"/>
    </row>
    <row r="23" spans="1:256">
      <c r="A23" s="1497">
        <f t="shared" si="2"/>
        <v>10</v>
      </c>
      <c r="B23" s="1494" t="s">
        <v>322</v>
      </c>
      <c r="C23" s="609">
        <f t="shared" si="3"/>
        <v>0</v>
      </c>
      <c r="D23" s="609">
        <f t="shared" si="5"/>
        <v>0</v>
      </c>
      <c r="E23" s="1494">
        <v>31</v>
      </c>
      <c r="F23" s="443">
        <v>215</v>
      </c>
      <c r="G23" s="1505">
        <f t="shared" si="0"/>
        <v>0.58904109589041098</v>
      </c>
      <c r="H23" s="609">
        <f t="shared" si="1"/>
        <v>0</v>
      </c>
      <c r="I23" s="609">
        <f>I22+H23</f>
        <v>0</v>
      </c>
      <c r="J23" s="1493"/>
      <c r="K23" s="1493"/>
      <c r="L23" s="1493"/>
      <c r="M23" s="1493"/>
      <c r="N23" s="1493"/>
      <c r="O23" s="1493"/>
      <c r="P23" s="1493"/>
      <c r="Q23" s="1493"/>
      <c r="R23" s="1493"/>
      <c r="S23" s="1493"/>
      <c r="T23" s="1493"/>
      <c r="U23" s="1493"/>
      <c r="V23" s="1493"/>
      <c r="W23" s="1493"/>
      <c r="X23" s="1493"/>
      <c r="Y23" s="1493"/>
      <c r="Z23" s="1493"/>
      <c r="AA23" s="1493"/>
      <c r="AB23" s="1493"/>
      <c r="AC23" s="1493"/>
      <c r="AD23" s="1493"/>
      <c r="AE23" s="1493"/>
      <c r="AF23" s="1493"/>
      <c r="AG23" s="1493"/>
      <c r="AH23" s="1493"/>
      <c r="AI23" s="1493"/>
      <c r="AJ23" s="1493"/>
      <c r="AK23" s="1493"/>
      <c r="AL23" s="1493"/>
      <c r="AM23" s="1493"/>
      <c r="AN23" s="1493"/>
      <c r="AO23" s="1493"/>
      <c r="AP23" s="1493"/>
      <c r="AQ23" s="1493"/>
      <c r="AR23" s="1493"/>
      <c r="AS23" s="1493"/>
      <c r="AT23" s="1493"/>
      <c r="AU23" s="1493"/>
      <c r="AV23" s="1493"/>
      <c r="AW23" s="1493"/>
      <c r="AX23" s="1493"/>
      <c r="AY23" s="1493"/>
      <c r="AZ23" s="1493"/>
      <c r="BA23" s="1493"/>
      <c r="BB23" s="1493"/>
      <c r="BC23" s="1493"/>
      <c r="BD23" s="1493"/>
      <c r="BE23" s="1493"/>
      <c r="BF23" s="1493"/>
      <c r="BG23" s="1493"/>
      <c r="BH23" s="1493"/>
      <c r="BI23" s="1493"/>
      <c r="BJ23" s="1493"/>
      <c r="BK23" s="1493"/>
      <c r="BL23" s="1493"/>
      <c r="BM23" s="1493"/>
      <c r="BN23" s="1493"/>
      <c r="BO23" s="1493"/>
      <c r="BP23" s="1493"/>
      <c r="BQ23" s="1493"/>
      <c r="BR23" s="1493"/>
      <c r="BS23" s="1493"/>
      <c r="BT23" s="1493"/>
      <c r="BU23" s="1493"/>
      <c r="BV23" s="1493"/>
      <c r="BW23" s="1493"/>
      <c r="BX23" s="1493"/>
      <c r="BY23" s="1493"/>
      <c r="BZ23" s="1493"/>
      <c r="CA23" s="1493"/>
      <c r="CB23" s="1493"/>
      <c r="CC23" s="1493"/>
      <c r="CD23" s="1493"/>
      <c r="CE23" s="1493"/>
      <c r="CF23" s="1493"/>
      <c r="CG23" s="1493"/>
      <c r="CH23" s="1493"/>
      <c r="CI23" s="1493"/>
      <c r="CJ23" s="1493"/>
      <c r="CK23" s="1493"/>
      <c r="CL23" s="1493"/>
      <c r="CM23" s="1493"/>
      <c r="CN23" s="1493"/>
      <c r="CO23" s="1493"/>
      <c r="CP23" s="1493"/>
      <c r="CQ23" s="1493"/>
      <c r="CR23" s="1493"/>
      <c r="CS23" s="1493"/>
      <c r="CT23" s="1493"/>
      <c r="CU23" s="1493"/>
      <c r="CV23" s="1493"/>
      <c r="CW23" s="1493"/>
      <c r="CX23" s="1493"/>
      <c r="CY23" s="1493"/>
      <c r="CZ23" s="1493"/>
      <c r="DA23" s="1493"/>
      <c r="DB23" s="1493"/>
      <c r="DC23" s="1493"/>
      <c r="DD23" s="1493"/>
      <c r="DE23" s="1493"/>
      <c r="DF23" s="1493"/>
      <c r="DG23" s="1493"/>
      <c r="DH23" s="1493"/>
      <c r="DI23" s="1493"/>
      <c r="DJ23" s="1493"/>
      <c r="DK23" s="1493"/>
      <c r="DL23" s="1493"/>
      <c r="DM23" s="1493"/>
      <c r="DN23" s="1493"/>
      <c r="DO23" s="1493"/>
      <c r="DP23" s="1493"/>
      <c r="DQ23" s="1493"/>
      <c r="DR23" s="1493"/>
      <c r="DS23" s="1493"/>
      <c r="DT23" s="1493"/>
      <c r="DU23" s="1493"/>
      <c r="DV23" s="1493"/>
      <c r="DW23" s="1493"/>
      <c r="DX23" s="1493"/>
      <c r="DY23" s="1493"/>
      <c r="DZ23" s="1493"/>
      <c r="EA23" s="1493"/>
      <c r="EB23" s="1493"/>
      <c r="EC23" s="1493"/>
      <c r="ED23" s="1493"/>
      <c r="EE23" s="1493"/>
      <c r="EF23" s="1493"/>
      <c r="EG23" s="1493"/>
      <c r="EH23" s="1493"/>
      <c r="EI23" s="1493"/>
      <c r="EJ23" s="1493"/>
      <c r="EK23" s="1493"/>
      <c r="EL23" s="1493"/>
      <c r="EM23" s="1493"/>
      <c r="EN23" s="1493"/>
      <c r="EO23" s="1493"/>
      <c r="EP23" s="1493"/>
      <c r="EQ23" s="1493"/>
      <c r="ER23" s="1493"/>
      <c r="ES23" s="1493"/>
      <c r="ET23" s="1493"/>
      <c r="EU23" s="1493"/>
      <c r="EV23" s="1493"/>
      <c r="EW23" s="1493"/>
      <c r="EX23" s="1493"/>
      <c r="EY23" s="1493"/>
      <c r="EZ23" s="1493"/>
      <c r="FA23" s="1493"/>
      <c r="FB23" s="1493"/>
      <c r="FC23" s="1493"/>
      <c r="FD23" s="1493"/>
      <c r="FE23" s="1493"/>
      <c r="FF23" s="1493"/>
      <c r="FG23" s="1493"/>
      <c r="FH23" s="1493"/>
      <c r="FI23" s="1493"/>
      <c r="FJ23" s="1493"/>
      <c r="FK23" s="1493"/>
      <c r="FL23" s="1493"/>
      <c r="FM23" s="1493"/>
      <c r="FN23" s="1493"/>
      <c r="FO23" s="1493"/>
      <c r="FP23" s="1493"/>
      <c r="FQ23" s="1493"/>
      <c r="FR23" s="1493"/>
      <c r="FS23" s="1493"/>
      <c r="FT23" s="1493"/>
      <c r="FU23" s="1493"/>
      <c r="FV23" s="1493"/>
      <c r="FW23" s="1493"/>
      <c r="FX23" s="1493"/>
      <c r="FY23" s="1493"/>
      <c r="FZ23" s="1493"/>
      <c r="GA23" s="1493"/>
      <c r="GB23" s="1493"/>
      <c r="GC23" s="1493"/>
      <c r="GD23" s="1493"/>
      <c r="GE23" s="1493"/>
      <c r="GF23" s="1493"/>
      <c r="GG23" s="1493"/>
      <c r="GH23" s="1493"/>
      <c r="GI23" s="1493"/>
      <c r="GJ23" s="1493"/>
      <c r="GK23" s="1493"/>
      <c r="GL23" s="1493"/>
      <c r="GM23" s="1493"/>
      <c r="GN23" s="1493"/>
      <c r="GO23" s="1493"/>
      <c r="GP23" s="1493"/>
      <c r="GQ23" s="1493"/>
      <c r="GR23" s="1493"/>
      <c r="GS23" s="1493"/>
      <c r="GT23" s="1493"/>
      <c r="GU23" s="1493"/>
      <c r="GV23" s="1493"/>
      <c r="GW23" s="1493"/>
      <c r="GX23" s="1493"/>
      <c r="GY23" s="1493"/>
      <c r="GZ23" s="1493"/>
      <c r="HA23" s="1493"/>
      <c r="HB23" s="1493"/>
      <c r="HC23" s="1493"/>
      <c r="HD23" s="1493"/>
      <c r="HE23" s="1493"/>
      <c r="HF23" s="1493"/>
      <c r="HG23" s="1493"/>
      <c r="HH23" s="1493"/>
      <c r="HI23" s="1493"/>
      <c r="HJ23" s="1493"/>
      <c r="HK23" s="1493"/>
      <c r="HL23" s="1493"/>
      <c r="HM23" s="1493"/>
      <c r="HN23" s="1493"/>
      <c r="HO23" s="1493"/>
      <c r="HP23" s="1493"/>
      <c r="HQ23" s="1493"/>
      <c r="HR23" s="1493"/>
      <c r="HS23" s="1493"/>
      <c r="HT23" s="1493"/>
      <c r="HU23" s="1493"/>
      <c r="HV23" s="1493"/>
      <c r="HW23" s="1493"/>
      <c r="HX23" s="1493"/>
      <c r="HY23" s="1493"/>
      <c r="HZ23" s="1493"/>
      <c r="IA23" s="1493"/>
      <c r="IB23" s="1493"/>
      <c r="IC23" s="1493"/>
      <c r="ID23" s="1493"/>
      <c r="IE23" s="1493"/>
      <c r="IF23" s="1493"/>
      <c r="IG23" s="1493"/>
      <c r="IH23" s="1493"/>
      <c r="II23" s="1493"/>
      <c r="IJ23" s="1493"/>
      <c r="IK23" s="1493"/>
      <c r="IL23" s="1493"/>
      <c r="IM23" s="1493"/>
      <c r="IN23" s="1493"/>
      <c r="IO23" s="1493"/>
      <c r="IP23" s="1493"/>
      <c r="IQ23" s="1493"/>
      <c r="IR23" s="1493"/>
      <c r="IS23" s="1493"/>
      <c r="IT23" s="1493"/>
      <c r="IU23" s="1493"/>
      <c r="IV23" s="1493"/>
    </row>
    <row r="24" spans="1:256">
      <c r="A24" s="1497">
        <f t="shared" si="2"/>
        <v>11</v>
      </c>
      <c r="B24" s="1494" t="s">
        <v>48</v>
      </c>
      <c r="C24" s="609">
        <f t="shared" si="3"/>
        <v>0</v>
      </c>
      <c r="D24" s="609">
        <f t="shared" si="5"/>
        <v>0</v>
      </c>
      <c r="E24" s="1494">
        <v>30</v>
      </c>
      <c r="F24" s="443">
        <v>185</v>
      </c>
      <c r="G24" s="1505">
        <f t="shared" si="0"/>
        <v>0.50684931506849318</v>
      </c>
      <c r="H24" s="609">
        <f t="shared" si="1"/>
        <v>0</v>
      </c>
      <c r="I24" s="609">
        <f>I23+H24</f>
        <v>0</v>
      </c>
      <c r="J24" s="1493"/>
      <c r="K24" s="1493"/>
      <c r="L24" s="1493"/>
      <c r="M24" s="1493"/>
      <c r="N24" s="1493"/>
      <c r="O24" s="1493"/>
      <c r="P24" s="1493"/>
      <c r="Q24" s="1493"/>
      <c r="R24" s="1493"/>
      <c r="S24" s="1493"/>
      <c r="T24" s="1493"/>
      <c r="U24" s="1493"/>
      <c r="V24" s="1493"/>
      <c r="W24" s="1493"/>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493"/>
      <c r="AS24" s="1493"/>
      <c r="AT24" s="1493"/>
      <c r="AU24" s="1493"/>
      <c r="AV24" s="1493"/>
      <c r="AW24" s="1493"/>
      <c r="AX24" s="1493"/>
      <c r="AY24" s="1493"/>
      <c r="AZ24" s="1493"/>
      <c r="BA24" s="1493"/>
      <c r="BB24" s="1493"/>
      <c r="BC24" s="1493"/>
      <c r="BD24" s="1493"/>
      <c r="BE24" s="1493"/>
      <c r="BF24" s="1493"/>
      <c r="BG24" s="1493"/>
      <c r="BH24" s="1493"/>
      <c r="BI24" s="1493"/>
      <c r="BJ24" s="1493"/>
      <c r="BK24" s="1493"/>
      <c r="BL24" s="1493"/>
      <c r="BM24" s="1493"/>
      <c r="BN24" s="1493"/>
      <c r="BO24" s="1493"/>
      <c r="BP24" s="1493"/>
      <c r="BQ24" s="1493"/>
      <c r="BR24" s="1493"/>
      <c r="BS24" s="1493"/>
      <c r="BT24" s="1493"/>
      <c r="BU24" s="1493"/>
      <c r="BV24" s="1493"/>
      <c r="BW24" s="1493"/>
      <c r="BX24" s="1493"/>
      <c r="BY24" s="1493"/>
      <c r="BZ24" s="1493"/>
      <c r="CA24" s="1493"/>
      <c r="CB24" s="1493"/>
      <c r="CC24" s="1493"/>
      <c r="CD24" s="1493"/>
      <c r="CE24" s="1493"/>
      <c r="CF24" s="1493"/>
      <c r="CG24" s="1493"/>
      <c r="CH24" s="1493"/>
      <c r="CI24" s="1493"/>
      <c r="CJ24" s="1493"/>
      <c r="CK24" s="1493"/>
      <c r="CL24" s="1493"/>
      <c r="CM24" s="1493"/>
      <c r="CN24" s="1493"/>
      <c r="CO24" s="1493"/>
      <c r="CP24" s="1493"/>
      <c r="CQ24" s="1493"/>
      <c r="CR24" s="1493"/>
      <c r="CS24" s="1493"/>
      <c r="CT24" s="1493"/>
      <c r="CU24" s="1493"/>
      <c r="CV24" s="1493"/>
      <c r="CW24" s="1493"/>
      <c r="CX24" s="1493"/>
      <c r="CY24" s="1493"/>
      <c r="CZ24" s="1493"/>
      <c r="DA24" s="1493"/>
      <c r="DB24" s="1493"/>
      <c r="DC24" s="1493"/>
      <c r="DD24" s="1493"/>
      <c r="DE24" s="1493"/>
      <c r="DF24" s="1493"/>
      <c r="DG24" s="1493"/>
      <c r="DH24" s="1493"/>
      <c r="DI24" s="1493"/>
      <c r="DJ24" s="1493"/>
      <c r="DK24" s="1493"/>
      <c r="DL24" s="1493"/>
      <c r="DM24" s="1493"/>
      <c r="DN24" s="1493"/>
      <c r="DO24" s="1493"/>
      <c r="DP24" s="1493"/>
      <c r="DQ24" s="1493"/>
      <c r="DR24" s="1493"/>
      <c r="DS24" s="1493"/>
      <c r="DT24" s="1493"/>
      <c r="DU24" s="1493"/>
      <c r="DV24" s="1493"/>
      <c r="DW24" s="1493"/>
      <c r="DX24" s="1493"/>
      <c r="DY24" s="1493"/>
      <c r="DZ24" s="1493"/>
      <c r="EA24" s="1493"/>
      <c r="EB24" s="1493"/>
      <c r="EC24" s="1493"/>
      <c r="ED24" s="1493"/>
      <c r="EE24" s="1493"/>
      <c r="EF24" s="1493"/>
      <c r="EG24" s="1493"/>
      <c r="EH24" s="1493"/>
      <c r="EI24" s="1493"/>
      <c r="EJ24" s="1493"/>
      <c r="EK24" s="1493"/>
      <c r="EL24" s="1493"/>
      <c r="EM24" s="1493"/>
      <c r="EN24" s="1493"/>
      <c r="EO24" s="1493"/>
      <c r="EP24" s="1493"/>
      <c r="EQ24" s="1493"/>
      <c r="ER24" s="1493"/>
      <c r="ES24" s="1493"/>
      <c r="ET24" s="1493"/>
      <c r="EU24" s="1493"/>
      <c r="EV24" s="1493"/>
      <c r="EW24" s="1493"/>
      <c r="EX24" s="1493"/>
      <c r="EY24" s="1493"/>
      <c r="EZ24" s="1493"/>
      <c r="FA24" s="1493"/>
      <c r="FB24" s="1493"/>
      <c r="FC24" s="1493"/>
      <c r="FD24" s="1493"/>
      <c r="FE24" s="1493"/>
      <c r="FF24" s="1493"/>
      <c r="FG24" s="1493"/>
      <c r="FH24" s="1493"/>
      <c r="FI24" s="1493"/>
      <c r="FJ24" s="1493"/>
      <c r="FK24" s="1493"/>
      <c r="FL24" s="1493"/>
      <c r="FM24" s="1493"/>
      <c r="FN24" s="1493"/>
      <c r="FO24" s="1493"/>
      <c r="FP24" s="1493"/>
      <c r="FQ24" s="1493"/>
      <c r="FR24" s="1493"/>
      <c r="FS24" s="1493"/>
      <c r="FT24" s="1493"/>
      <c r="FU24" s="1493"/>
      <c r="FV24" s="1493"/>
      <c r="FW24" s="1493"/>
      <c r="FX24" s="1493"/>
      <c r="FY24" s="1493"/>
      <c r="FZ24" s="1493"/>
      <c r="GA24" s="1493"/>
      <c r="GB24" s="1493"/>
      <c r="GC24" s="1493"/>
      <c r="GD24" s="1493"/>
      <c r="GE24" s="1493"/>
      <c r="GF24" s="1493"/>
      <c r="GG24" s="1493"/>
      <c r="GH24" s="1493"/>
      <c r="GI24" s="1493"/>
      <c r="GJ24" s="1493"/>
      <c r="GK24" s="1493"/>
      <c r="GL24" s="1493"/>
      <c r="GM24" s="1493"/>
      <c r="GN24" s="1493"/>
      <c r="GO24" s="1493"/>
      <c r="GP24" s="1493"/>
      <c r="GQ24" s="1493"/>
      <c r="GR24" s="1493"/>
      <c r="GS24" s="1493"/>
      <c r="GT24" s="1493"/>
      <c r="GU24" s="1493"/>
      <c r="GV24" s="1493"/>
      <c r="GW24" s="1493"/>
      <c r="GX24" s="1493"/>
      <c r="GY24" s="1493"/>
      <c r="GZ24" s="1493"/>
      <c r="HA24" s="1493"/>
      <c r="HB24" s="1493"/>
      <c r="HC24" s="1493"/>
      <c r="HD24" s="1493"/>
      <c r="HE24" s="1493"/>
      <c r="HF24" s="1493"/>
      <c r="HG24" s="1493"/>
      <c r="HH24" s="1493"/>
      <c r="HI24" s="1493"/>
      <c r="HJ24" s="1493"/>
      <c r="HK24" s="1493"/>
      <c r="HL24" s="1493"/>
      <c r="HM24" s="1493"/>
      <c r="HN24" s="1493"/>
      <c r="HO24" s="1493"/>
      <c r="HP24" s="1493"/>
      <c r="HQ24" s="1493"/>
      <c r="HR24" s="1493"/>
      <c r="HS24" s="1493"/>
      <c r="HT24" s="1493"/>
      <c r="HU24" s="1493"/>
      <c r="HV24" s="1493"/>
      <c r="HW24" s="1493"/>
      <c r="HX24" s="1493"/>
      <c r="HY24" s="1493"/>
      <c r="HZ24" s="1493"/>
      <c r="IA24" s="1493"/>
      <c r="IB24" s="1493"/>
      <c r="IC24" s="1493"/>
      <c r="ID24" s="1493"/>
      <c r="IE24" s="1493"/>
      <c r="IF24" s="1493"/>
      <c r="IG24" s="1493"/>
      <c r="IH24" s="1493"/>
      <c r="II24" s="1493"/>
      <c r="IJ24" s="1493"/>
      <c r="IK24" s="1493"/>
      <c r="IL24" s="1493"/>
      <c r="IM24" s="1493"/>
      <c r="IN24" s="1493"/>
      <c r="IO24" s="1493"/>
      <c r="IP24" s="1493"/>
      <c r="IQ24" s="1493"/>
      <c r="IR24" s="1493"/>
      <c r="IS24" s="1493"/>
      <c r="IT24" s="1493"/>
      <c r="IU24" s="1493"/>
      <c r="IV24" s="1493"/>
    </row>
    <row r="25" spans="1:256">
      <c r="A25" s="1497">
        <f t="shared" si="2"/>
        <v>12</v>
      </c>
      <c r="B25" s="1494" t="s">
        <v>323</v>
      </c>
      <c r="C25" s="609">
        <f t="shared" si="3"/>
        <v>0</v>
      </c>
      <c r="D25" s="609">
        <f t="shared" si="5"/>
        <v>0</v>
      </c>
      <c r="E25" s="1494">
        <v>31</v>
      </c>
      <c r="F25" s="443">
        <v>154</v>
      </c>
      <c r="G25" s="1505">
        <f t="shared" si="0"/>
        <v>0.42191780821917807</v>
      </c>
      <c r="H25" s="609">
        <f t="shared" si="1"/>
        <v>0</v>
      </c>
      <c r="I25" s="609">
        <f t="shared" si="4"/>
        <v>0</v>
      </c>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493"/>
      <c r="AS25" s="1493"/>
      <c r="AT25" s="1493"/>
      <c r="AU25" s="1493"/>
      <c r="AV25" s="1493"/>
      <c r="AW25" s="1493"/>
      <c r="AX25" s="1493"/>
      <c r="AY25" s="1493"/>
      <c r="AZ25" s="1493"/>
      <c r="BA25" s="1493"/>
      <c r="BB25" s="1493"/>
      <c r="BC25" s="1493"/>
      <c r="BD25" s="1493"/>
      <c r="BE25" s="1493"/>
      <c r="BF25" s="1493"/>
      <c r="BG25" s="1493"/>
      <c r="BH25" s="1493"/>
      <c r="BI25" s="1493"/>
      <c r="BJ25" s="1493"/>
      <c r="BK25" s="1493"/>
      <c r="BL25" s="1493"/>
      <c r="BM25" s="1493"/>
      <c r="BN25" s="1493"/>
      <c r="BO25" s="1493"/>
      <c r="BP25" s="1493"/>
      <c r="BQ25" s="1493"/>
      <c r="BR25" s="1493"/>
      <c r="BS25" s="1493"/>
      <c r="BT25" s="1493"/>
      <c r="BU25" s="1493"/>
      <c r="BV25" s="1493"/>
      <c r="BW25" s="1493"/>
      <c r="BX25" s="1493"/>
      <c r="BY25" s="1493"/>
      <c r="BZ25" s="1493"/>
      <c r="CA25" s="1493"/>
      <c r="CB25" s="1493"/>
      <c r="CC25" s="1493"/>
      <c r="CD25" s="1493"/>
      <c r="CE25" s="1493"/>
      <c r="CF25" s="1493"/>
      <c r="CG25" s="1493"/>
      <c r="CH25" s="1493"/>
      <c r="CI25" s="1493"/>
      <c r="CJ25" s="1493"/>
      <c r="CK25" s="1493"/>
      <c r="CL25" s="1493"/>
      <c r="CM25" s="1493"/>
      <c r="CN25" s="1493"/>
      <c r="CO25" s="1493"/>
      <c r="CP25" s="1493"/>
      <c r="CQ25" s="1493"/>
      <c r="CR25" s="1493"/>
      <c r="CS25" s="1493"/>
      <c r="CT25" s="1493"/>
      <c r="CU25" s="1493"/>
      <c r="CV25" s="1493"/>
      <c r="CW25" s="1493"/>
      <c r="CX25" s="1493"/>
      <c r="CY25" s="1493"/>
      <c r="CZ25" s="1493"/>
      <c r="DA25" s="1493"/>
      <c r="DB25" s="1493"/>
      <c r="DC25" s="1493"/>
      <c r="DD25" s="1493"/>
      <c r="DE25" s="1493"/>
      <c r="DF25" s="1493"/>
      <c r="DG25" s="1493"/>
      <c r="DH25" s="1493"/>
      <c r="DI25" s="1493"/>
      <c r="DJ25" s="1493"/>
      <c r="DK25" s="1493"/>
      <c r="DL25" s="1493"/>
      <c r="DM25" s="1493"/>
      <c r="DN25" s="1493"/>
      <c r="DO25" s="1493"/>
      <c r="DP25" s="1493"/>
      <c r="DQ25" s="1493"/>
      <c r="DR25" s="1493"/>
      <c r="DS25" s="1493"/>
      <c r="DT25" s="1493"/>
      <c r="DU25" s="1493"/>
      <c r="DV25" s="1493"/>
      <c r="DW25" s="1493"/>
      <c r="DX25" s="1493"/>
      <c r="DY25" s="1493"/>
      <c r="DZ25" s="1493"/>
      <c r="EA25" s="1493"/>
      <c r="EB25" s="1493"/>
      <c r="EC25" s="1493"/>
      <c r="ED25" s="1493"/>
      <c r="EE25" s="1493"/>
      <c r="EF25" s="1493"/>
      <c r="EG25" s="1493"/>
      <c r="EH25" s="1493"/>
      <c r="EI25" s="1493"/>
      <c r="EJ25" s="1493"/>
      <c r="EK25" s="1493"/>
      <c r="EL25" s="1493"/>
      <c r="EM25" s="1493"/>
      <c r="EN25" s="1493"/>
      <c r="EO25" s="1493"/>
      <c r="EP25" s="1493"/>
      <c r="EQ25" s="1493"/>
      <c r="ER25" s="1493"/>
      <c r="ES25" s="1493"/>
      <c r="ET25" s="1493"/>
      <c r="EU25" s="1493"/>
      <c r="EV25" s="1493"/>
      <c r="EW25" s="1493"/>
      <c r="EX25" s="1493"/>
      <c r="EY25" s="1493"/>
      <c r="EZ25" s="1493"/>
      <c r="FA25" s="1493"/>
      <c r="FB25" s="1493"/>
      <c r="FC25" s="1493"/>
      <c r="FD25" s="1493"/>
      <c r="FE25" s="1493"/>
      <c r="FF25" s="1493"/>
      <c r="FG25" s="1493"/>
      <c r="FH25" s="1493"/>
      <c r="FI25" s="1493"/>
      <c r="FJ25" s="1493"/>
      <c r="FK25" s="1493"/>
      <c r="FL25" s="1493"/>
      <c r="FM25" s="1493"/>
      <c r="FN25" s="1493"/>
      <c r="FO25" s="1493"/>
      <c r="FP25" s="1493"/>
      <c r="FQ25" s="1493"/>
      <c r="FR25" s="1493"/>
      <c r="FS25" s="1493"/>
      <c r="FT25" s="1493"/>
      <c r="FU25" s="1493"/>
      <c r="FV25" s="1493"/>
      <c r="FW25" s="1493"/>
      <c r="FX25" s="1493"/>
      <c r="FY25" s="1493"/>
      <c r="FZ25" s="1493"/>
      <c r="GA25" s="1493"/>
      <c r="GB25" s="1493"/>
      <c r="GC25" s="1493"/>
      <c r="GD25" s="1493"/>
      <c r="GE25" s="1493"/>
      <c r="GF25" s="1493"/>
      <c r="GG25" s="1493"/>
      <c r="GH25" s="1493"/>
      <c r="GI25" s="1493"/>
      <c r="GJ25" s="1493"/>
      <c r="GK25" s="1493"/>
      <c r="GL25" s="1493"/>
      <c r="GM25" s="1493"/>
      <c r="GN25" s="1493"/>
      <c r="GO25" s="1493"/>
      <c r="GP25" s="1493"/>
      <c r="GQ25" s="1493"/>
      <c r="GR25" s="1493"/>
      <c r="GS25" s="1493"/>
      <c r="GT25" s="1493"/>
      <c r="GU25" s="1493"/>
      <c r="GV25" s="1493"/>
      <c r="GW25" s="1493"/>
      <c r="GX25" s="1493"/>
      <c r="GY25" s="1493"/>
      <c r="GZ25" s="1493"/>
      <c r="HA25" s="1493"/>
      <c r="HB25" s="1493"/>
      <c r="HC25" s="1493"/>
      <c r="HD25" s="1493"/>
      <c r="HE25" s="1493"/>
      <c r="HF25" s="1493"/>
      <c r="HG25" s="1493"/>
      <c r="HH25" s="1493"/>
      <c r="HI25" s="1493"/>
      <c r="HJ25" s="1493"/>
      <c r="HK25" s="1493"/>
      <c r="HL25" s="1493"/>
      <c r="HM25" s="1493"/>
      <c r="HN25" s="1493"/>
      <c r="HO25" s="1493"/>
      <c r="HP25" s="1493"/>
      <c r="HQ25" s="1493"/>
      <c r="HR25" s="1493"/>
      <c r="HS25" s="1493"/>
      <c r="HT25" s="1493"/>
      <c r="HU25" s="1493"/>
      <c r="HV25" s="1493"/>
      <c r="HW25" s="1493"/>
      <c r="HX25" s="1493"/>
      <c r="HY25" s="1493"/>
      <c r="HZ25" s="1493"/>
      <c r="IA25" s="1493"/>
      <c r="IB25" s="1493"/>
      <c r="IC25" s="1493"/>
      <c r="ID25" s="1493"/>
      <c r="IE25" s="1493"/>
      <c r="IF25" s="1493"/>
      <c r="IG25" s="1493"/>
      <c r="IH25" s="1493"/>
      <c r="II25" s="1493"/>
      <c r="IJ25" s="1493"/>
      <c r="IK25" s="1493"/>
      <c r="IL25" s="1493"/>
      <c r="IM25" s="1493"/>
      <c r="IN25" s="1493"/>
      <c r="IO25" s="1493"/>
      <c r="IP25" s="1493"/>
      <c r="IQ25" s="1493"/>
      <c r="IR25" s="1493"/>
      <c r="IS25" s="1493"/>
      <c r="IT25" s="1493"/>
      <c r="IU25" s="1493"/>
      <c r="IV25" s="1493"/>
    </row>
    <row r="26" spans="1:256">
      <c r="A26" s="1497">
        <f t="shared" si="2"/>
        <v>13</v>
      </c>
      <c r="B26" s="1494" t="s">
        <v>324</v>
      </c>
      <c r="C26" s="609">
        <f t="shared" si="3"/>
        <v>0</v>
      </c>
      <c r="D26" s="609">
        <f t="shared" si="5"/>
        <v>0</v>
      </c>
      <c r="E26" s="1494">
        <v>31</v>
      </c>
      <c r="F26" s="443">
        <v>123</v>
      </c>
      <c r="G26" s="1505">
        <f t="shared" si="0"/>
        <v>0.33698630136986302</v>
      </c>
      <c r="H26" s="609">
        <f t="shared" si="1"/>
        <v>0</v>
      </c>
      <c r="I26" s="609">
        <f t="shared" si="4"/>
        <v>0</v>
      </c>
      <c r="J26" s="1493"/>
      <c r="K26" s="1493"/>
      <c r="L26" s="1493"/>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493"/>
      <c r="AS26" s="1493"/>
      <c r="AT26" s="1493"/>
      <c r="AU26" s="1493"/>
      <c r="AV26" s="1493"/>
      <c r="AW26" s="1493"/>
      <c r="AX26" s="1493"/>
      <c r="AY26" s="1493"/>
      <c r="AZ26" s="1493"/>
      <c r="BA26" s="1493"/>
      <c r="BB26" s="1493"/>
      <c r="BC26" s="1493"/>
      <c r="BD26" s="1493"/>
      <c r="BE26" s="1493"/>
      <c r="BF26" s="1493"/>
      <c r="BG26" s="1493"/>
      <c r="BH26" s="1493"/>
      <c r="BI26" s="1493"/>
      <c r="BJ26" s="1493"/>
      <c r="BK26" s="1493"/>
      <c r="BL26" s="1493"/>
      <c r="BM26" s="1493"/>
      <c r="BN26" s="1493"/>
      <c r="BO26" s="1493"/>
      <c r="BP26" s="1493"/>
      <c r="BQ26" s="1493"/>
      <c r="BR26" s="1493"/>
      <c r="BS26" s="1493"/>
      <c r="BT26" s="1493"/>
      <c r="BU26" s="1493"/>
      <c r="BV26" s="1493"/>
      <c r="BW26" s="1493"/>
      <c r="BX26" s="1493"/>
      <c r="BY26" s="1493"/>
      <c r="BZ26" s="1493"/>
      <c r="CA26" s="1493"/>
      <c r="CB26" s="1493"/>
      <c r="CC26" s="1493"/>
      <c r="CD26" s="1493"/>
      <c r="CE26" s="1493"/>
      <c r="CF26" s="1493"/>
      <c r="CG26" s="1493"/>
      <c r="CH26" s="1493"/>
      <c r="CI26" s="1493"/>
      <c r="CJ26" s="1493"/>
      <c r="CK26" s="1493"/>
      <c r="CL26" s="1493"/>
      <c r="CM26" s="1493"/>
      <c r="CN26" s="1493"/>
      <c r="CO26" s="1493"/>
      <c r="CP26" s="1493"/>
      <c r="CQ26" s="1493"/>
      <c r="CR26" s="1493"/>
      <c r="CS26" s="1493"/>
      <c r="CT26" s="1493"/>
      <c r="CU26" s="1493"/>
      <c r="CV26" s="1493"/>
      <c r="CW26" s="1493"/>
      <c r="CX26" s="1493"/>
      <c r="CY26" s="1493"/>
      <c r="CZ26" s="1493"/>
      <c r="DA26" s="1493"/>
      <c r="DB26" s="1493"/>
      <c r="DC26" s="1493"/>
      <c r="DD26" s="1493"/>
      <c r="DE26" s="1493"/>
      <c r="DF26" s="1493"/>
      <c r="DG26" s="1493"/>
      <c r="DH26" s="1493"/>
      <c r="DI26" s="1493"/>
      <c r="DJ26" s="1493"/>
      <c r="DK26" s="1493"/>
      <c r="DL26" s="1493"/>
      <c r="DM26" s="1493"/>
      <c r="DN26" s="1493"/>
      <c r="DO26" s="1493"/>
      <c r="DP26" s="1493"/>
      <c r="DQ26" s="1493"/>
      <c r="DR26" s="1493"/>
      <c r="DS26" s="1493"/>
      <c r="DT26" s="1493"/>
      <c r="DU26" s="1493"/>
      <c r="DV26" s="1493"/>
      <c r="DW26" s="1493"/>
      <c r="DX26" s="1493"/>
      <c r="DY26" s="1493"/>
      <c r="DZ26" s="1493"/>
      <c r="EA26" s="1493"/>
      <c r="EB26" s="1493"/>
      <c r="EC26" s="1493"/>
      <c r="ED26" s="1493"/>
      <c r="EE26" s="1493"/>
      <c r="EF26" s="1493"/>
      <c r="EG26" s="1493"/>
      <c r="EH26" s="1493"/>
      <c r="EI26" s="1493"/>
      <c r="EJ26" s="1493"/>
      <c r="EK26" s="1493"/>
      <c r="EL26" s="1493"/>
      <c r="EM26" s="1493"/>
      <c r="EN26" s="1493"/>
      <c r="EO26" s="1493"/>
      <c r="EP26" s="1493"/>
      <c r="EQ26" s="1493"/>
      <c r="ER26" s="1493"/>
      <c r="ES26" s="1493"/>
      <c r="ET26" s="1493"/>
      <c r="EU26" s="1493"/>
      <c r="EV26" s="1493"/>
      <c r="EW26" s="1493"/>
      <c r="EX26" s="1493"/>
      <c r="EY26" s="1493"/>
      <c r="EZ26" s="1493"/>
      <c r="FA26" s="1493"/>
      <c r="FB26" s="1493"/>
      <c r="FC26" s="1493"/>
      <c r="FD26" s="1493"/>
      <c r="FE26" s="1493"/>
      <c r="FF26" s="1493"/>
      <c r="FG26" s="1493"/>
      <c r="FH26" s="1493"/>
      <c r="FI26" s="1493"/>
      <c r="FJ26" s="1493"/>
      <c r="FK26" s="1493"/>
      <c r="FL26" s="1493"/>
      <c r="FM26" s="1493"/>
      <c r="FN26" s="1493"/>
      <c r="FO26" s="1493"/>
      <c r="FP26" s="1493"/>
      <c r="FQ26" s="1493"/>
      <c r="FR26" s="1493"/>
      <c r="FS26" s="1493"/>
      <c r="FT26" s="1493"/>
      <c r="FU26" s="1493"/>
      <c r="FV26" s="1493"/>
      <c r="FW26" s="1493"/>
      <c r="FX26" s="1493"/>
      <c r="FY26" s="1493"/>
      <c r="FZ26" s="1493"/>
      <c r="GA26" s="1493"/>
      <c r="GB26" s="1493"/>
      <c r="GC26" s="1493"/>
      <c r="GD26" s="1493"/>
      <c r="GE26" s="1493"/>
      <c r="GF26" s="1493"/>
      <c r="GG26" s="1493"/>
      <c r="GH26" s="1493"/>
      <c r="GI26" s="1493"/>
      <c r="GJ26" s="1493"/>
      <c r="GK26" s="1493"/>
      <c r="GL26" s="1493"/>
      <c r="GM26" s="1493"/>
      <c r="GN26" s="1493"/>
      <c r="GO26" s="1493"/>
      <c r="GP26" s="1493"/>
      <c r="GQ26" s="1493"/>
      <c r="GR26" s="1493"/>
      <c r="GS26" s="1493"/>
      <c r="GT26" s="1493"/>
      <c r="GU26" s="1493"/>
      <c r="GV26" s="1493"/>
      <c r="GW26" s="1493"/>
      <c r="GX26" s="1493"/>
      <c r="GY26" s="1493"/>
      <c r="GZ26" s="1493"/>
      <c r="HA26" s="1493"/>
      <c r="HB26" s="1493"/>
      <c r="HC26" s="1493"/>
      <c r="HD26" s="1493"/>
      <c r="HE26" s="1493"/>
      <c r="HF26" s="1493"/>
      <c r="HG26" s="1493"/>
      <c r="HH26" s="1493"/>
      <c r="HI26" s="1493"/>
      <c r="HJ26" s="1493"/>
      <c r="HK26" s="1493"/>
      <c r="HL26" s="1493"/>
      <c r="HM26" s="1493"/>
      <c r="HN26" s="1493"/>
      <c r="HO26" s="1493"/>
      <c r="HP26" s="1493"/>
      <c r="HQ26" s="1493"/>
      <c r="HR26" s="1493"/>
      <c r="HS26" s="1493"/>
      <c r="HT26" s="1493"/>
      <c r="HU26" s="1493"/>
      <c r="HV26" s="1493"/>
      <c r="HW26" s="1493"/>
      <c r="HX26" s="1493"/>
      <c r="HY26" s="1493"/>
      <c r="HZ26" s="1493"/>
      <c r="IA26" s="1493"/>
      <c r="IB26" s="1493"/>
      <c r="IC26" s="1493"/>
      <c r="ID26" s="1493"/>
      <c r="IE26" s="1493"/>
      <c r="IF26" s="1493"/>
      <c r="IG26" s="1493"/>
      <c r="IH26" s="1493"/>
      <c r="II26" s="1493"/>
      <c r="IJ26" s="1493"/>
      <c r="IK26" s="1493"/>
      <c r="IL26" s="1493"/>
      <c r="IM26" s="1493"/>
      <c r="IN26" s="1493"/>
      <c r="IO26" s="1493"/>
      <c r="IP26" s="1493"/>
      <c r="IQ26" s="1493"/>
      <c r="IR26" s="1493"/>
      <c r="IS26" s="1493"/>
      <c r="IT26" s="1493"/>
      <c r="IU26" s="1493"/>
      <c r="IV26" s="1493"/>
    </row>
    <row r="27" spans="1:256">
      <c r="A27" s="1497">
        <f t="shared" si="2"/>
        <v>14</v>
      </c>
      <c r="B27" s="1494" t="s">
        <v>326</v>
      </c>
      <c r="C27" s="609">
        <f t="shared" si="3"/>
        <v>0</v>
      </c>
      <c r="D27" s="609">
        <f t="shared" si="5"/>
        <v>0</v>
      </c>
      <c r="E27" s="1494">
        <v>30</v>
      </c>
      <c r="F27" s="443">
        <v>93</v>
      </c>
      <c r="G27" s="1505">
        <f t="shared" si="0"/>
        <v>0.25479452054794521</v>
      </c>
      <c r="H27" s="609">
        <f t="shared" si="1"/>
        <v>0</v>
      </c>
      <c r="I27" s="609">
        <f t="shared" si="4"/>
        <v>0</v>
      </c>
      <c r="J27" s="1493"/>
      <c r="K27" s="1493"/>
      <c r="L27" s="1493"/>
      <c r="M27" s="1493"/>
      <c r="N27" s="1493"/>
      <c r="O27" s="1493"/>
      <c r="P27" s="1493"/>
      <c r="Q27" s="1493"/>
      <c r="R27" s="1493"/>
      <c r="S27" s="1493"/>
      <c r="T27" s="1493"/>
      <c r="U27" s="1493"/>
      <c r="V27" s="1493"/>
      <c r="W27" s="1493"/>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493"/>
      <c r="AS27" s="1493"/>
      <c r="AT27" s="1493"/>
      <c r="AU27" s="1493"/>
      <c r="AV27" s="1493"/>
      <c r="AW27" s="1493"/>
      <c r="AX27" s="1493"/>
      <c r="AY27" s="1493"/>
      <c r="AZ27" s="1493"/>
      <c r="BA27" s="1493"/>
      <c r="BB27" s="1493"/>
      <c r="BC27" s="1493"/>
      <c r="BD27" s="1493"/>
      <c r="BE27" s="1493"/>
      <c r="BF27" s="1493"/>
      <c r="BG27" s="1493"/>
      <c r="BH27" s="1493"/>
      <c r="BI27" s="1493"/>
      <c r="BJ27" s="1493"/>
      <c r="BK27" s="1493"/>
      <c r="BL27" s="1493"/>
      <c r="BM27" s="1493"/>
      <c r="BN27" s="1493"/>
      <c r="BO27" s="1493"/>
      <c r="BP27" s="1493"/>
      <c r="BQ27" s="1493"/>
      <c r="BR27" s="1493"/>
      <c r="BS27" s="1493"/>
      <c r="BT27" s="1493"/>
      <c r="BU27" s="1493"/>
      <c r="BV27" s="1493"/>
      <c r="BW27" s="1493"/>
      <c r="BX27" s="1493"/>
      <c r="BY27" s="1493"/>
      <c r="BZ27" s="1493"/>
      <c r="CA27" s="1493"/>
      <c r="CB27" s="1493"/>
      <c r="CC27" s="1493"/>
      <c r="CD27" s="1493"/>
      <c r="CE27" s="1493"/>
      <c r="CF27" s="1493"/>
      <c r="CG27" s="1493"/>
      <c r="CH27" s="1493"/>
      <c r="CI27" s="1493"/>
      <c r="CJ27" s="1493"/>
      <c r="CK27" s="1493"/>
      <c r="CL27" s="1493"/>
      <c r="CM27" s="1493"/>
      <c r="CN27" s="1493"/>
      <c r="CO27" s="1493"/>
      <c r="CP27" s="1493"/>
      <c r="CQ27" s="1493"/>
      <c r="CR27" s="1493"/>
      <c r="CS27" s="1493"/>
      <c r="CT27" s="1493"/>
      <c r="CU27" s="1493"/>
      <c r="CV27" s="1493"/>
      <c r="CW27" s="1493"/>
      <c r="CX27" s="1493"/>
      <c r="CY27" s="1493"/>
      <c r="CZ27" s="1493"/>
      <c r="DA27" s="1493"/>
      <c r="DB27" s="1493"/>
      <c r="DC27" s="1493"/>
      <c r="DD27" s="1493"/>
      <c r="DE27" s="1493"/>
      <c r="DF27" s="1493"/>
      <c r="DG27" s="1493"/>
      <c r="DH27" s="1493"/>
      <c r="DI27" s="1493"/>
      <c r="DJ27" s="1493"/>
      <c r="DK27" s="1493"/>
      <c r="DL27" s="1493"/>
      <c r="DM27" s="1493"/>
      <c r="DN27" s="1493"/>
      <c r="DO27" s="1493"/>
      <c r="DP27" s="1493"/>
      <c r="DQ27" s="1493"/>
      <c r="DR27" s="1493"/>
      <c r="DS27" s="1493"/>
      <c r="DT27" s="1493"/>
      <c r="DU27" s="1493"/>
      <c r="DV27" s="1493"/>
      <c r="DW27" s="1493"/>
      <c r="DX27" s="1493"/>
      <c r="DY27" s="1493"/>
      <c r="DZ27" s="1493"/>
      <c r="EA27" s="1493"/>
      <c r="EB27" s="1493"/>
      <c r="EC27" s="1493"/>
      <c r="ED27" s="1493"/>
      <c r="EE27" s="1493"/>
      <c r="EF27" s="1493"/>
      <c r="EG27" s="1493"/>
      <c r="EH27" s="1493"/>
      <c r="EI27" s="1493"/>
      <c r="EJ27" s="1493"/>
      <c r="EK27" s="1493"/>
      <c r="EL27" s="1493"/>
      <c r="EM27" s="1493"/>
      <c r="EN27" s="1493"/>
      <c r="EO27" s="1493"/>
      <c r="EP27" s="1493"/>
      <c r="EQ27" s="1493"/>
      <c r="ER27" s="1493"/>
      <c r="ES27" s="1493"/>
      <c r="ET27" s="1493"/>
      <c r="EU27" s="1493"/>
      <c r="EV27" s="1493"/>
      <c r="EW27" s="1493"/>
      <c r="EX27" s="1493"/>
      <c r="EY27" s="1493"/>
      <c r="EZ27" s="1493"/>
      <c r="FA27" s="1493"/>
      <c r="FB27" s="1493"/>
      <c r="FC27" s="1493"/>
      <c r="FD27" s="1493"/>
      <c r="FE27" s="1493"/>
      <c r="FF27" s="1493"/>
      <c r="FG27" s="1493"/>
      <c r="FH27" s="1493"/>
      <c r="FI27" s="1493"/>
      <c r="FJ27" s="1493"/>
      <c r="FK27" s="1493"/>
      <c r="FL27" s="1493"/>
      <c r="FM27" s="1493"/>
      <c r="FN27" s="1493"/>
      <c r="FO27" s="1493"/>
      <c r="FP27" s="1493"/>
      <c r="FQ27" s="1493"/>
      <c r="FR27" s="1493"/>
      <c r="FS27" s="1493"/>
      <c r="FT27" s="1493"/>
      <c r="FU27" s="1493"/>
      <c r="FV27" s="1493"/>
      <c r="FW27" s="1493"/>
      <c r="FX27" s="1493"/>
      <c r="FY27" s="1493"/>
      <c r="FZ27" s="1493"/>
      <c r="GA27" s="1493"/>
      <c r="GB27" s="1493"/>
      <c r="GC27" s="1493"/>
      <c r="GD27" s="1493"/>
      <c r="GE27" s="1493"/>
      <c r="GF27" s="1493"/>
      <c r="GG27" s="1493"/>
      <c r="GH27" s="1493"/>
      <c r="GI27" s="1493"/>
      <c r="GJ27" s="1493"/>
      <c r="GK27" s="1493"/>
      <c r="GL27" s="1493"/>
      <c r="GM27" s="1493"/>
      <c r="GN27" s="1493"/>
      <c r="GO27" s="1493"/>
      <c r="GP27" s="1493"/>
      <c r="GQ27" s="1493"/>
      <c r="GR27" s="1493"/>
      <c r="GS27" s="1493"/>
      <c r="GT27" s="1493"/>
      <c r="GU27" s="1493"/>
      <c r="GV27" s="1493"/>
      <c r="GW27" s="1493"/>
      <c r="GX27" s="1493"/>
      <c r="GY27" s="1493"/>
      <c r="GZ27" s="1493"/>
      <c r="HA27" s="1493"/>
      <c r="HB27" s="1493"/>
      <c r="HC27" s="1493"/>
      <c r="HD27" s="1493"/>
      <c r="HE27" s="1493"/>
      <c r="HF27" s="1493"/>
      <c r="HG27" s="1493"/>
      <c r="HH27" s="1493"/>
      <c r="HI27" s="1493"/>
      <c r="HJ27" s="1493"/>
      <c r="HK27" s="1493"/>
      <c r="HL27" s="1493"/>
      <c r="HM27" s="1493"/>
      <c r="HN27" s="1493"/>
      <c r="HO27" s="1493"/>
      <c r="HP27" s="1493"/>
      <c r="HQ27" s="1493"/>
      <c r="HR27" s="1493"/>
      <c r="HS27" s="1493"/>
      <c r="HT27" s="1493"/>
      <c r="HU27" s="1493"/>
      <c r="HV27" s="1493"/>
      <c r="HW27" s="1493"/>
      <c r="HX27" s="1493"/>
      <c r="HY27" s="1493"/>
      <c r="HZ27" s="1493"/>
      <c r="IA27" s="1493"/>
      <c r="IB27" s="1493"/>
      <c r="IC27" s="1493"/>
      <c r="ID27" s="1493"/>
      <c r="IE27" s="1493"/>
      <c r="IF27" s="1493"/>
      <c r="IG27" s="1493"/>
      <c r="IH27" s="1493"/>
      <c r="II27" s="1493"/>
      <c r="IJ27" s="1493"/>
      <c r="IK27" s="1493"/>
      <c r="IL27" s="1493"/>
      <c r="IM27" s="1493"/>
      <c r="IN27" s="1493"/>
      <c r="IO27" s="1493"/>
      <c r="IP27" s="1493"/>
      <c r="IQ27" s="1493"/>
      <c r="IR27" s="1493"/>
      <c r="IS27" s="1493"/>
      <c r="IT27" s="1493"/>
      <c r="IU27" s="1493"/>
      <c r="IV27" s="1493"/>
    </row>
    <row r="28" spans="1:256">
      <c r="A28" s="1497">
        <f t="shared" si="2"/>
        <v>15</v>
      </c>
      <c r="B28" s="1494" t="s">
        <v>513</v>
      </c>
      <c r="C28" s="609">
        <f t="shared" si="3"/>
        <v>0</v>
      </c>
      <c r="D28" s="609">
        <f t="shared" si="5"/>
        <v>0</v>
      </c>
      <c r="E28" s="1494">
        <v>31</v>
      </c>
      <c r="F28" s="443">
        <v>62</v>
      </c>
      <c r="G28" s="1505">
        <f t="shared" si="0"/>
        <v>0.16986301369863013</v>
      </c>
      <c r="H28" s="609">
        <f t="shared" si="1"/>
        <v>0</v>
      </c>
      <c r="I28" s="609">
        <f t="shared" si="4"/>
        <v>0</v>
      </c>
      <c r="J28" s="1493"/>
      <c r="K28" s="1493"/>
      <c r="L28" s="1493"/>
      <c r="M28" s="1493"/>
      <c r="N28" s="1493"/>
      <c r="O28" s="1493"/>
      <c r="P28" s="1493"/>
      <c r="Q28" s="1493"/>
      <c r="R28" s="1493"/>
      <c r="S28" s="1493"/>
      <c r="T28" s="1493"/>
      <c r="U28" s="1493"/>
      <c r="V28" s="1493"/>
      <c r="W28" s="1493"/>
      <c r="X28" s="1493"/>
      <c r="Y28" s="1493"/>
      <c r="Z28" s="1493"/>
      <c r="AA28" s="1493"/>
      <c r="AB28" s="1493"/>
      <c r="AC28" s="1493"/>
      <c r="AD28" s="1493"/>
      <c r="AE28" s="1493"/>
      <c r="AF28" s="1493"/>
      <c r="AG28" s="1493"/>
      <c r="AH28" s="1493"/>
      <c r="AI28" s="1493"/>
      <c r="AJ28" s="1493"/>
      <c r="AK28" s="149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93"/>
      <c r="BN28" s="1493"/>
      <c r="BO28" s="1493"/>
      <c r="BP28" s="1493"/>
      <c r="BQ28" s="1493"/>
      <c r="BR28" s="1493"/>
      <c r="BS28" s="1493"/>
      <c r="BT28" s="1493"/>
      <c r="BU28" s="1493"/>
      <c r="BV28" s="1493"/>
      <c r="BW28" s="1493"/>
      <c r="BX28" s="1493"/>
      <c r="BY28" s="1493"/>
      <c r="BZ28" s="1493"/>
      <c r="CA28" s="1493"/>
      <c r="CB28" s="1493"/>
      <c r="CC28" s="1493"/>
      <c r="CD28" s="1493"/>
      <c r="CE28" s="1493"/>
      <c r="CF28" s="1493"/>
      <c r="CG28" s="1493"/>
      <c r="CH28" s="1493"/>
      <c r="CI28" s="1493"/>
      <c r="CJ28" s="1493"/>
      <c r="CK28" s="1493"/>
      <c r="CL28" s="1493"/>
      <c r="CM28" s="1493"/>
      <c r="CN28" s="1493"/>
      <c r="CO28" s="1493"/>
      <c r="CP28" s="1493"/>
      <c r="CQ28" s="1493"/>
      <c r="CR28" s="1493"/>
      <c r="CS28" s="1493"/>
      <c r="CT28" s="1493"/>
      <c r="CU28" s="1493"/>
      <c r="CV28" s="1493"/>
      <c r="CW28" s="1493"/>
      <c r="CX28" s="1493"/>
      <c r="CY28" s="1493"/>
      <c r="CZ28" s="1493"/>
      <c r="DA28" s="1493"/>
      <c r="DB28" s="1493"/>
      <c r="DC28" s="1493"/>
      <c r="DD28" s="1493"/>
      <c r="DE28" s="1493"/>
      <c r="DF28" s="1493"/>
      <c r="DG28" s="1493"/>
      <c r="DH28" s="1493"/>
      <c r="DI28" s="1493"/>
      <c r="DJ28" s="1493"/>
      <c r="DK28" s="1493"/>
      <c r="DL28" s="1493"/>
      <c r="DM28" s="1493"/>
      <c r="DN28" s="1493"/>
      <c r="DO28" s="1493"/>
      <c r="DP28" s="1493"/>
      <c r="DQ28" s="1493"/>
      <c r="DR28" s="1493"/>
      <c r="DS28" s="1493"/>
      <c r="DT28" s="1493"/>
      <c r="DU28" s="1493"/>
      <c r="DV28" s="1493"/>
      <c r="DW28" s="1493"/>
      <c r="DX28" s="1493"/>
      <c r="DY28" s="1493"/>
      <c r="DZ28" s="1493"/>
      <c r="EA28" s="1493"/>
      <c r="EB28" s="1493"/>
      <c r="EC28" s="1493"/>
      <c r="ED28" s="1493"/>
      <c r="EE28" s="1493"/>
      <c r="EF28" s="1493"/>
      <c r="EG28" s="1493"/>
      <c r="EH28" s="1493"/>
      <c r="EI28" s="1493"/>
      <c r="EJ28" s="1493"/>
      <c r="EK28" s="1493"/>
      <c r="EL28" s="1493"/>
      <c r="EM28" s="1493"/>
      <c r="EN28" s="1493"/>
      <c r="EO28" s="1493"/>
      <c r="EP28" s="1493"/>
      <c r="EQ28" s="1493"/>
      <c r="ER28" s="1493"/>
      <c r="ES28" s="1493"/>
      <c r="ET28" s="1493"/>
      <c r="EU28" s="1493"/>
      <c r="EV28" s="1493"/>
      <c r="EW28" s="1493"/>
      <c r="EX28" s="1493"/>
      <c r="EY28" s="1493"/>
      <c r="EZ28" s="1493"/>
      <c r="FA28" s="1493"/>
      <c r="FB28" s="1493"/>
      <c r="FC28" s="1493"/>
      <c r="FD28" s="1493"/>
      <c r="FE28" s="1493"/>
      <c r="FF28" s="1493"/>
      <c r="FG28" s="1493"/>
      <c r="FH28" s="1493"/>
      <c r="FI28" s="1493"/>
      <c r="FJ28" s="1493"/>
      <c r="FK28" s="1493"/>
      <c r="FL28" s="1493"/>
      <c r="FM28" s="1493"/>
      <c r="FN28" s="1493"/>
      <c r="FO28" s="1493"/>
      <c r="FP28" s="1493"/>
      <c r="FQ28" s="1493"/>
      <c r="FR28" s="1493"/>
      <c r="FS28" s="1493"/>
      <c r="FT28" s="1493"/>
      <c r="FU28" s="1493"/>
      <c r="FV28" s="1493"/>
      <c r="FW28" s="1493"/>
      <c r="FX28" s="1493"/>
      <c r="FY28" s="1493"/>
      <c r="FZ28" s="1493"/>
      <c r="GA28" s="1493"/>
      <c r="GB28" s="1493"/>
      <c r="GC28" s="1493"/>
      <c r="GD28" s="1493"/>
      <c r="GE28" s="1493"/>
      <c r="GF28" s="1493"/>
      <c r="GG28" s="1493"/>
      <c r="GH28" s="1493"/>
      <c r="GI28" s="1493"/>
      <c r="GJ28" s="1493"/>
      <c r="GK28" s="1493"/>
      <c r="GL28" s="1493"/>
      <c r="GM28" s="1493"/>
      <c r="GN28" s="1493"/>
      <c r="GO28" s="1493"/>
      <c r="GP28" s="1493"/>
      <c r="GQ28" s="1493"/>
      <c r="GR28" s="1493"/>
      <c r="GS28" s="1493"/>
      <c r="GT28" s="1493"/>
      <c r="GU28" s="1493"/>
      <c r="GV28" s="1493"/>
      <c r="GW28" s="1493"/>
      <c r="GX28" s="1493"/>
      <c r="GY28" s="1493"/>
      <c r="GZ28" s="1493"/>
      <c r="HA28" s="1493"/>
      <c r="HB28" s="1493"/>
      <c r="HC28" s="1493"/>
      <c r="HD28" s="1493"/>
      <c r="HE28" s="1493"/>
      <c r="HF28" s="1493"/>
      <c r="HG28" s="1493"/>
      <c r="HH28" s="1493"/>
      <c r="HI28" s="1493"/>
      <c r="HJ28" s="1493"/>
      <c r="HK28" s="1493"/>
      <c r="HL28" s="1493"/>
      <c r="HM28" s="1493"/>
      <c r="HN28" s="1493"/>
      <c r="HO28" s="1493"/>
      <c r="HP28" s="1493"/>
      <c r="HQ28" s="1493"/>
      <c r="HR28" s="1493"/>
      <c r="HS28" s="1493"/>
      <c r="HT28" s="1493"/>
      <c r="HU28" s="1493"/>
      <c r="HV28" s="1493"/>
      <c r="HW28" s="1493"/>
      <c r="HX28" s="1493"/>
      <c r="HY28" s="1493"/>
      <c r="HZ28" s="1493"/>
      <c r="IA28" s="1493"/>
      <c r="IB28" s="1493"/>
      <c r="IC28" s="1493"/>
      <c r="ID28" s="1493"/>
      <c r="IE28" s="1493"/>
      <c r="IF28" s="1493"/>
      <c r="IG28" s="1493"/>
      <c r="IH28" s="1493"/>
      <c r="II28" s="1493"/>
      <c r="IJ28" s="1493"/>
      <c r="IK28" s="1493"/>
      <c r="IL28" s="1493"/>
      <c r="IM28" s="1493"/>
      <c r="IN28" s="1493"/>
      <c r="IO28" s="1493"/>
      <c r="IP28" s="1493"/>
      <c r="IQ28" s="1493"/>
      <c r="IR28" s="1493"/>
      <c r="IS28" s="1493"/>
      <c r="IT28" s="1493"/>
      <c r="IU28" s="1493"/>
      <c r="IV28" s="1493"/>
    </row>
    <row r="29" spans="1:256">
      <c r="A29" s="1497">
        <f t="shared" si="2"/>
        <v>16</v>
      </c>
      <c r="B29" s="1494" t="s">
        <v>514</v>
      </c>
      <c r="C29" s="609">
        <f t="shared" si="3"/>
        <v>0</v>
      </c>
      <c r="D29" s="609">
        <f t="shared" si="5"/>
        <v>0</v>
      </c>
      <c r="E29" s="1494">
        <v>30</v>
      </c>
      <c r="F29" s="443">
        <v>32</v>
      </c>
      <c r="G29" s="1505">
        <f t="shared" si="0"/>
        <v>8.7671232876712329E-2</v>
      </c>
      <c r="H29" s="609">
        <f t="shared" si="1"/>
        <v>0</v>
      </c>
      <c r="I29" s="609">
        <f t="shared" si="4"/>
        <v>0</v>
      </c>
      <c r="J29" s="1493"/>
      <c r="K29" s="1493"/>
      <c r="L29" s="1493"/>
      <c r="M29" s="1493"/>
      <c r="N29" s="1493"/>
      <c r="O29" s="1493"/>
      <c r="P29" s="1493"/>
      <c r="Q29" s="1493"/>
      <c r="R29" s="1493"/>
      <c r="S29" s="1493"/>
      <c r="T29" s="1493"/>
      <c r="U29" s="1493"/>
      <c r="V29" s="1493"/>
      <c r="W29" s="1493"/>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493"/>
      <c r="AS29" s="1493"/>
      <c r="AT29" s="1493"/>
      <c r="AU29" s="1493"/>
      <c r="AV29" s="1493"/>
      <c r="AW29" s="1493"/>
      <c r="AX29" s="1493"/>
      <c r="AY29" s="1493"/>
      <c r="AZ29" s="1493"/>
      <c r="BA29" s="1493"/>
      <c r="BB29" s="1493"/>
      <c r="BC29" s="1493"/>
      <c r="BD29" s="1493"/>
      <c r="BE29" s="1493"/>
      <c r="BF29" s="1493"/>
      <c r="BG29" s="1493"/>
      <c r="BH29" s="1493"/>
      <c r="BI29" s="1493"/>
      <c r="BJ29" s="1493"/>
      <c r="BK29" s="1493"/>
      <c r="BL29" s="1493"/>
      <c r="BM29" s="1493"/>
      <c r="BN29" s="1493"/>
      <c r="BO29" s="1493"/>
      <c r="BP29" s="1493"/>
      <c r="BQ29" s="1493"/>
      <c r="BR29" s="1493"/>
      <c r="BS29" s="1493"/>
      <c r="BT29" s="1493"/>
      <c r="BU29" s="1493"/>
      <c r="BV29" s="1493"/>
      <c r="BW29" s="1493"/>
      <c r="BX29" s="1493"/>
      <c r="BY29" s="1493"/>
      <c r="BZ29" s="1493"/>
      <c r="CA29" s="1493"/>
      <c r="CB29" s="1493"/>
      <c r="CC29" s="1493"/>
      <c r="CD29" s="1493"/>
      <c r="CE29" s="1493"/>
      <c r="CF29" s="1493"/>
      <c r="CG29" s="1493"/>
      <c r="CH29" s="1493"/>
      <c r="CI29" s="1493"/>
      <c r="CJ29" s="1493"/>
      <c r="CK29" s="1493"/>
      <c r="CL29" s="1493"/>
      <c r="CM29" s="1493"/>
      <c r="CN29" s="1493"/>
      <c r="CO29" s="1493"/>
      <c r="CP29" s="1493"/>
      <c r="CQ29" s="1493"/>
      <c r="CR29" s="1493"/>
      <c r="CS29" s="1493"/>
      <c r="CT29" s="1493"/>
      <c r="CU29" s="1493"/>
      <c r="CV29" s="1493"/>
      <c r="CW29" s="1493"/>
      <c r="CX29" s="1493"/>
      <c r="CY29" s="1493"/>
      <c r="CZ29" s="1493"/>
      <c r="DA29" s="1493"/>
      <c r="DB29" s="1493"/>
      <c r="DC29" s="1493"/>
      <c r="DD29" s="1493"/>
      <c r="DE29" s="1493"/>
      <c r="DF29" s="1493"/>
      <c r="DG29" s="1493"/>
      <c r="DH29" s="1493"/>
      <c r="DI29" s="1493"/>
      <c r="DJ29" s="1493"/>
      <c r="DK29" s="1493"/>
      <c r="DL29" s="1493"/>
      <c r="DM29" s="1493"/>
      <c r="DN29" s="1493"/>
      <c r="DO29" s="1493"/>
      <c r="DP29" s="1493"/>
      <c r="DQ29" s="1493"/>
      <c r="DR29" s="1493"/>
      <c r="DS29" s="1493"/>
      <c r="DT29" s="1493"/>
      <c r="DU29" s="1493"/>
      <c r="DV29" s="1493"/>
      <c r="DW29" s="1493"/>
      <c r="DX29" s="1493"/>
      <c r="DY29" s="1493"/>
      <c r="DZ29" s="1493"/>
      <c r="EA29" s="1493"/>
      <c r="EB29" s="1493"/>
      <c r="EC29" s="1493"/>
      <c r="ED29" s="1493"/>
      <c r="EE29" s="1493"/>
      <c r="EF29" s="1493"/>
      <c r="EG29" s="1493"/>
      <c r="EH29" s="1493"/>
      <c r="EI29" s="1493"/>
      <c r="EJ29" s="1493"/>
      <c r="EK29" s="1493"/>
      <c r="EL29" s="1493"/>
      <c r="EM29" s="1493"/>
      <c r="EN29" s="1493"/>
      <c r="EO29" s="1493"/>
      <c r="EP29" s="1493"/>
      <c r="EQ29" s="1493"/>
      <c r="ER29" s="1493"/>
      <c r="ES29" s="1493"/>
      <c r="ET29" s="1493"/>
      <c r="EU29" s="1493"/>
      <c r="EV29" s="1493"/>
      <c r="EW29" s="1493"/>
      <c r="EX29" s="1493"/>
      <c r="EY29" s="1493"/>
      <c r="EZ29" s="1493"/>
      <c r="FA29" s="1493"/>
      <c r="FB29" s="1493"/>
      <c r="FC29" s="1493"/>
      <c r="FD29" s="1493"/>
      <c r="FE29" s="1493"/>
      <c r="FF29" s="1493"/>
      <c r="FG29" s="1493"/>
      <c r="FH29" s="1493"/>
      <c r="FI29" s="1493"/>
      <c r="FJ29" s="1493"/>
      <c r="FK29" s="1493"/>
      <c r="FL29" s="1493"/>
      <c r="FM29" s="1493"/>
      <c r="FN29" s="1493"/>
      <c r="FO29" s="1493"/>
      <c r="FP29" s="1493"/>
      <c r="FQ29" s="1493"/>
      <c r="FR29" s="1493"/>
      <c r="FS29" s="1493"/>
      <c r="FT29" s="1493"/>
      <c r="FU29" s="1493"/>
      <c r="FV29" s="1493"/>
      <c r="FW29" s="1493"/>
      <c r="FX29" s="1493"/>
      <c r="FY29" s="1493"/>
      <c r="FZ29" s="1493"/>
      <c r="GA29" s="1493"/>
      <c r="GB29" s="1493"/>
      <c r="GC29" s="1493"/>
      <c r="GD29" s="1493"/>
      <c r="GE29" s="1493"/>
      <c r="GF29" s="1493"/>
      <c r="GG29" s="1493"/>
      <c r="GH29" s="1493"/>
      <c r="GI29" s="1493"/>
      <c r="GJ29" s="1493"/>
      <c r="GK29" s="1493"/>
      <c r="GL29" s="1493"/>
      <c r="GM29" s="1493"/>
      <c r="GN29" s="1493"/>
      <c r="GO29" s="1493"/>
      <c r="GP29" s="1493"/>
      <c r="GQ29" s="1493"/>
      <c r="GR29" s="1493"/>
      <c r="GS29" s="1493"/>
      <c r="GT29" s="1493"/>
      <c r="GU29" s="1493"/>
      <c r="GV29" s="1493"/>
      <c r="GW29" s="1493"/>
      <c r="GX29" s="1493"/>
      <c r="GY29" s="1493"/>
      <c r="GZ29" s="1493"/>
      <c r="HA29" s="1493"/>
      <c r="HB29" s="1493"/>
      <c r="HC29" s="1493"/>
      <c r="HD29" s="1493"/>
      <c r="HE29" s="1493"/>
      <c r="HF29" s="1493"/>
      <c r="HG29" s="1493"/>
      <c r="HH29" s="1493"/>
      <c r="HI29" s="1493"/>
      <c r="HJ29" s="1493"/>
      <c r="HK29" s="1493"/>
      <c r="HL29" s="1493"/>
      <c r="HM29" s="1493"/>
      <c r="HN29" s="1493"/>
      <c r="HO29" s="1493"/>
      <c r="HP29" s="1493"/>
      <c r="HQ29" s="1493"/>
      <c r="HR29" s="1493"/>
      <c r="HS29" s="1493"/>
      <c r="HT29" s="1493"/>
      <c r="HU29" s="1493"/>
      <c r="HV29" s="1493"/>
      <c r="HW29" s="1493"/>
      <c r="HX29" s="1493"/>
      <c r="HY29" s="1493"/>
      <c r="HZ29" s="1493"/>
      <c r="IA29" s="1493"/>
      <c r="IB29" s="1493"/>
      <c r="IC29" s="1493"/>
      <c r="ID29" s="1493"/>
      <c r="IE29" s="1493"/>
      <c r="IF29" s="1493"/>
      <c r="IG29" s="1493"/>
      <c r="IH29" s="1493"/>
      <c r="II29" s="1493"/>
      <c r="IJ29" s="1493"/>
      <c r="IK29" s="1493"/>
      <c r="IL29" s="1493"/>
      <c r="IM29" s="1493"/>
      <c r="IN29" s="1493"/>
      <c r="IO29" s="1493"/>
      <c r="IP29" s="1493"/>
      <c r="IQ29" s="1493"/>
      <c r="IR29" s="1493"/>
      <c r="IS29" s="1493"/>
      <c r="IT29" s="1493"/>
      <c r="IU29" s="1493"/>
      <c r="IV29" s="1493"/>
    </row>
    <row r="30" spans="1:256">
      <c r="A30" s="1497">
        <f t="shared" si="2"/>
        <v>17</v>
      </c>
      <c r="B30" s="1494" t="s">
        <v>325</v>
      </c>
      <c r="C30" s="609">
        <f t="shared" si="3"/>
        <v>0</v>
      </c>
      <c r="D30" s="609">
        <f t="shared" si="5"/>
        <v>0</v>
      </c>
      <c r="E30" s="1494">
        <v>31</v>
      </c>
      <c r="F30" s="443">
        <f>F29-E30</f>
        <v>1</v>
      </c>
      <c r="G30" s="1505">
        <f t="shared" si="0"/>
        <v>2.7397260273972603E-3</v>
      </c>
      <c r="H30" s="609">
        <f t="shared" si="1"/>
        <v>0</v>
      </c>
      <c r="I30" s="609">
        <f t="shared" si="4"/>
        <v>0</v>
      </c>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493"/>
      <c r="AS30" s="1493"/>
      <c r="AT30" s="1493"/>
      <c r="AU30" s="1493"/>
      <c r="AV30" s="1493"/>
      <c r="AW30" s="1493"/>
      <c r="AX30" s="1493"/>
      <c r="AY30" s="1493"/>
      <c r="AZ30" s="1493"/>
      <c r="BA30" s="1493"/>
      <c r="BB30" s="1493"/>
      <c r="BC30" s="1493"/>
      <c r="BD30" s="1493"/>
      <c r="BE30" s="1493"/>
      <c r="BF30" s="1493"/>
      <c r="BG30" s="1493"/>
      <c r="BH30" s="1493"/>
      <c r="BI30" s="1493"/>
      <c r="BJ30" s="1493"/>
      <c r="BK30" s="1493"/>
      <c r="BL30" s="1493"/>
      <c r="BM30" s="1493"/>
      <c r="BN30" s="1493"/>
      <c r="BO30" s="1493"/>
      <c r="BP30" s="1493"/>
      <c r="BQ30" s="1493"/>
      <c r="BR30" s="1493"/>
      <c r="BS30" s="1493"/>
      <c r="BT30" s="1493"/>
      <c r="BU30" s="1493"/>
      <c r="BV30" s="1493"/>
      <c r="BW30" s="1493"/>
      <c r="BX30" s="1493"/>
      <c r="BY30" s="1493"/>
      <c r="BZ30" s="1493"/>
      <c r="CA30" s="1493"/>
      <c r="CB30" s="1493"/>
      <c r="CC30" s="1493"/>
      <c r="CD30" s="1493"/>
      <c r="CE30" s="1493"/>
      <c r="CF30" s="1493"/>
      <c r="CG30" s="1493"/>
      <c r="CH30" s="1493"/>
      <c r="CI30" s="1493"/>
      <c r="CJ30" s="1493"/>
      <c r="CK30" s="1493"/>
      <c r="CL30" s="1493"/>
      <c r="CM30" s="1493"/>
      <c r="CN30" s="1493"/>
      <c r="CO30" s="1493"/>
      <c r="CP30" s="1493"/>
      <c r="CQ30" s="1493"/>
      <c r="CR30" s="1493"/>
      <c r="CS30" s="1493"/>
      <c r="CT30" s="1493"/>
      <c r="CU30" s="1493"/>
      <c r="CV30" s="1493"/>
      <c r="CW30" s="1493"/>
      <c r="CX30" s="1493"/>
      <c r="CY30" s="1493"/>
      <c r="CZ30" s="1493"/>
      <c r="DA30" s="1493"/>
      <c r="DB30" s="1493"/>
      <c r="DC30" s="1493"/>
      <c r="DD30" s="1493"/>
      <c r="DE30" s="1493"/>
      <c r="DF30" s="1493"/>
      <c r="DG30" s="1493"/>
      <c r="DH30" s="1493"/>
      <c r="DI30" s="1493"/>
      <c r="DJ30" s="1493"/>
      <c r="DK30" s="1493"/>
      <c r="DL30" s="1493"/>
      <c r="DM30" s="1493"/>
      <c r="DN30" s="1493"/>
      <c r="DO30" s="1493"/>
      <c r="DP30" s="1493"/>
      <c r="DQ30" s="1493"/>
      <c r="DR30" s="1493"/>
      <c r="DS30" s="1493"/>
      <c r="DT30" s="1493"/>
      <c r="DU30" s="1493"/>
      <c r="DV30" s="1493"/>
      <c r="DW30" s="1493"/>
      <c r="DX30" s="1493"/>
      <c r="DY30" s="1493"/>
      <c r="DZ30" s="1493"/>
      <c r="EA30" s="1493"/>
      <c r="EB30" s="1493"/>
      <c r="EC30" s="1493"/>
      <c r="ED30" s="1493"/>
      <c r="EE30" s="1493"/>
      <c r="EF30" s="1493"/>
      <c r="EG30" s="1493"/>
      <c r="EH30" s="1493"/>
      <c r="EI30" s="1493"/>
      <c r="EJ30" s="1493"/>
      <c r="EK30" s="1493"/>
      <c r="EL30" s="1493"/>
      <c r="EM30" s="1493"/>
      <c r="EN30" s="1493"/>
      <c r="EO30" s="1493"/>
      <c r="EP30" s="1493"/>
      <c r="EQ30" s="1493"/>
      <c r="ER30" s="1493"/>
      <c r="ES30" s="1493"/>
      <c r="ET30" s="1493"/>
      <c r="EU30" s="1493"/>
      <c r="EV30" s="1493"/>
      <c r="EW30" s="1493"/>
      <c r="EX30" s="1493"/>
      <c r="EY30" s="1493"/>
      <c r="EZ30" s="1493"/>
      <c r="FA30" s="1493"/>
      <c r="FB30" s="1493"/>
      <c r="FC30" s="1493"/>
      <c r="FD30" s="1493"/>
      <c r="FE30" s="1493"/>
      <c r="FF30" s="1493"/>
      <c r="FG30" s="1493"/>
      <c r="FH30" s="1493"/>
      <c r="FI30" s="1493"/>
      <c r="FJ30" s="1493"/>
      <c r="FK30" s="1493"/>
      <c r="FL30" s="1493"/>
      <c r="FM30" s="1493"/>
      <c r="FN30" s="1493"/>
      <c r="FO30" s="1493"/>
      <c r="FP30" s="1493"/>
      <c r="FQ30" s="1493"/>
      <c r="FR30" s="1493"/>
      <c r="FS30" s="1493"/>
      <c r="FT30" s="1493"/>
      <c r="FU30" s="1493"/>
      <c r="FV30" s="1493"/>
      <c r="FW30" s="1493"/>
      <c r="FX30" s="1493"/>
      <c r="FY30" s="1493"/>
      <c r="FZ30" s="1493"/>
      <c r="GA30" s="1493"/>
      <c r="GB30" s="1493"/>
      <c r="GC30" s="1493"/>
      <c r="GD30" s="1493"/>
      <c r="GE30" s="1493"/>
      <c r="GF30" s="1493"/>
      <c r="GG30" s="1493"/>
      <c r="GH30" s="1493"/>
      <c r="GI30" s="1493"/>
      <c r="GJ30" s="1493"/>
      <c r="GK30" s="1493"/>
      <c r="GL30" s="1493"/>
      <c r="GM30" s="1493"/>
      <c r="GN30" s="1493"/>
      <c r="GO30" s="1493"/>
      <c r="GP30" s="1493"/>
      <c r="GQ30" s="1493"/>
      <c r="GR30" s="1493"/>
      <c r="GS30" s="1493"/>
      <c r="GT30" s="1493"/>
      <c r="GU30" s="1493"/>
      <c r="GV30" s="1493"/>
      <c r="GW30" s="1493"/>
      <c r="GX30" s="1493"/>
      <c r="GY30" s="1493"/>
      <c r="GZ30" s="1493"/>
      <c r="HA30" s="1493"/>
      <c r="HB30" s="1493"/>
      <c r="HC30" s="1493"/>
      <c r="HD30" s="1493"/>
      <c r="HE30" s="1493"/>
      <c r="HF30" s="1493"/>
      <c r="HG30" s="1493"/>
      <c r="HH30" s="1493"/>
      <c r="HI30" s="1493"/>
      <c r="HJ30" s="1493"/>
      <c r="HK30" s="1493"/>
      <c r="HL30" s="1493"/>
      <c r="HM30" s="1493"/>
      <c r="HN30" s="1493"/>
      <c r="HO30" s="1493"/>
      <c r="HP30" s="1493"/>
      <c r="HQ30" s="1493"/>
      <c r="HR30" s="1493"/>
      <c r="HS30" s="1493"/>
      <c r="HT30" s="1493"/>
      <c r="HU30" s="1493"/>
      <c r="HV30" s="1493"/>
      <c r="HW30" s="1493"/>
      <c r="HX30" s="1493"/>
      <c r="HY30" s="1493"/>
      <c r="HZ30" s="1493"/>
      <c r="IA30" s="1493"/>
      <c r="IB30" s="1493"/>
      <c r="IC30" s="1493"/>
      <c r="ID30" s="1493"/>
      <c r="IE30" s="1493"/>
      <c r="IF30" s="1493"/>
      <c r="IG30" s="1493"/>
      <c r="IH30" s="1493"/>
      <c r="II30" s="1493"/>
      <c r="IJ30" s="1493"/>
      <c r="IK30" s="1493"/>
      <c r="IL30" s="1493"/>
      <c r="IM30" s="1493"/>
      <c r="IN30" s="1493"/>
      <c r="IO30" s="1493"/>
      <c r="IP30" s="1493"/>
      <c r="IQ30" s="1493"/>
      <c r="IR30" s="1493"/>
      <c r="IS30" s="1493"/>
      <c r="IT30" s="1493"/>
      <c r="IU30" s="1493"/>
      <c r="IV30" s="1493"/>
    </row>
    <row r="31" spans="1:256">
      <c r="A31" s="1497"/>
      <c r="B31" s="1494"/>
      <c r="C31" s="1506"/>
      <c r="D31" s="1506"/>
      <c r="E31" s="1494"/>
      <c r="F31" s="1494"/>
      <c r="G31" s="1494"/>
      <c r="H31" s="1506"/>
      <c r="I31" s="1506"/>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493"/>
      <c r="AS31" s="1493"/>
      <c r="AT31" s="1493"/>
      <c r="AU31" s="1493"/>
      <c r="AV31" s="1493"/>
      <c r="AW31" s="1493"/>
      <c r="AX31" s="1493"/>
      <c r="AY31" s="1493"/>
      <c r="AZ31" s="1493"/>
      <c r="BA31" s="1493"/>
      <c r="BB31" s="1493"/>
      <c r="BC31" s="1493"/>
      <c r="BD31" s="1493"/>
      <c r="BE31" s="1493"/>
      <c r="BF31" s="1493"/>
      <c r="BG31" s="1493"/>
      <c r="BH31" s="1493"/>
      <c r="BI31" s="1493"/>
      <c r="BJ31" s="1493"/>
      <c r="BK31" s="1493"/>
      <c r="BL31" s="1493"/>
      <c r="BM31" s="1493"/>
      <c r="BN31" s="1493"/>
      <c r="BO31" s="1493"/>
      <c r="BP31" s="1493"/>
      <c r="BQ31" s="1493"/>
      <c r="BR31" s="1493"/>
      <c r="BS31" s="1493"/>
      <c r="BT31" s="1493"/>
      <c r="BU31" s="1493"/>
      <c r="BV31" s="1493"/>
      <c r="BW31" s="1493"/>
      <c r="BX31" s="1493"/>
      <c r="BY31" s="1493"/>
      <c r="BZ31" s="1493"/>
      <c r="CA31" s="1493"/>
      <c r="CB31" s="1493"/>
      <c r="CC31" s="1493"/>
      <c r="CD31" s="1493"/>
      <c r="CE31" s="1493"/>
      <c r="CF31" s="1493"/>
      <c r="CG31" s="1493"/>
      <c r="CH31" s="1493"/>
      <c r="CI31" s="1493"/>
      <c r="CJ31" s="1493"/>
      <c r="CK31" s="1493"/>
      <c r="CL31" s="1493"/>
      <c r="CM31" s="1493"/>
      <c r="CN31" s="1493"/>
      <c r="CO31" s="1493"/>
      <c r="CP31" s="1493"/>
      <c r="CQ31" s="1493"/>
      <c r="CR31" s="1493"/>
      <c r="CS31" s="1493"/>
      <c r="CT31" s="1493"/>
      <c r="CU31" s="1493"/>
      <c r="CV31" s="1493"/>
      <c r="CW31" s="1493"/>
      <c r="CX31" s="1493"/>
      <c r="CY31" s="1493"/>
      <c r="CZ31" s="1493"/>
      <c r="DA31" s="1493"/>
      <c r="DB31" s="1493"/>
      <c r="DC31" s="1493"/>
      <c r="DD31" s="1493"/>
      <c r="DE31" s="1493"/>
      <c r="DF31" s="1493"/>
      <c r="DG31" s="1493"/>
      <c r="DH31" s="1493"/>
      <c r="DI31" s="1493"/>
      <c r="DJ31" s="1493"/>
      <c r="DK31" s="1493"/>
      <c r="DL31" s="1493"/>
      <c r="DM31" s="1493"/>
      <c r="DN31" s="1493"/>
      <c r="DO31" s="1493"/>
      <c r="DP31" s="1493"/>
      <c r="DQ31" s="1493"/>
      <c r="DR31" s="1493"/>
      <c r="DS31" s="1493"/>
      <c r="DT31" s="1493"/>
      <c r="DU31" s="1493"/>
      <c r="DV31" s="1493"/>
      <c r="DW31" s="1493"/>
      <c r="DX31" s="1493"/>
      <c r="DY31" s="1493"/>
      <c r="DZ31" s="1493"/>
      <c r="EA31" s="1493"/>
      <c r="EB31" s="1493"/>
      <c r="EC31" s="1493"/>
      <c r="ED31" s="1493"/>
      <c r="EE31" s="1493"/>
      <c r="EF31" s="1493"/>
      <c r="EG31" s="1493"/>
      <c r="EH31" s="1493"/>
      <c r="EI31" s="1493"/>
      <c r="EJ31" s="1493"/>
      <c r="EK31" s="1493"/>
      <c r="EL31" s="1493"/>
      <c r="EM31" s="1493"/>
      <c r="EN31" s="1493"/>
      <c r="EO31" s="1493"/>
      <c r="EP31" s="1493"/>
      <c r="EQ31" s="1493"/>
      <c r="ER31" s="1493"/>
      <c r="ES31" s="1493"/>
      <c r="ET31" s="1493"/>
      <c r="EU31" s="1493"/>
      <c r="EV31" s="1493"/>
      <c r="EW31" s="1493"/>
      <c r="EX31" s="1493"/>
      <c r="EY31" s="1493"/>
      <c r="EZ31" s="1493"/>
      <c r="FA31" s="1493"/>
      <c r="FB31" s="1493"/>
      <c r="FC31" s="1493"/>
      <c r="FD31" s="1493"/>
      <c r="FE31" s="1493"/>
      <c r="FF31" s="1493"/>
      <c r="FG31" s="1493"/>
      <c r="FH31" s="1493"/>
      <c r="FI31" s="1493"/>
      <c r="FJ31" s="1493"/>
      <c r="FK31" s="1493"/>
      <c r="FL31" s="1493"/>
      <c r="FM31" s="1493"/>
      <c r="FN31" s="1493"/>
      <c r="FO31" s="1493"/>
      <c r="FP31" s="1493"/>
      <c r="FQ31" s="1493"/>
      <c r="FR31" s="1493"/>
      <c r="FS31" s="1493"/>
      <c r="FT31" s="1493"/>
      <c r="FU31" s="1493"/>
      <c r="FV31" s="1493"/>
      <c r="FW31" s="1493"/>
      <c r="FX31" s="1493"/>
      <c r="FY31" s="1493"/>
      <c r="FZ31" s="1493"/>
      <c r="GA31" s="1493"/>
      <c r="GB31" s="1493"/>
      <c r="GC31" s="1493"/>
      <c r="GD31" s="1493"/>
      <c r="GE31" s="1493"/>
      <c r="GF31" s="1493"/>
      <c r="GG31" s="1493"/>
      <c r="GH31" s="1493"/>
      <c r="GI31" s="1493"/>
      <c r="GJ31" s="1493"/>
      <c r="GK31" s="1493"/>
      <c r="GL31" s="1493"/>
      <c r="GM31" s="1493"/>
      <c r="GN31" s="1493"/>
      <c r="GO31" s="1493"/>
      <c r="GP31" s="1493"/>
      <c r="GQ31" s="1493"/>
      <c r="GR31" s="1493"/>
      <c r="GS31" s="1493"/>
      <c r="GT31" s="1493"/>
      <c r="GU31" s="1493"/>
      <c r="GV31" s="1493"/>
      <c r="GW31" s="1493"/>
      <c r="GX31" s="1493"/>
      <c r="GY31" s="1493"/>
      <c r="GZ31" s="1493"/>
      <c r="HA31" s="1493"/>
      <c r="HB31" s="1493"/>
      <c r="HC31" s="1493"/>
      <c r="HD31" s="1493"/>
      <c r="HE31" s="1493"/>
      <c r="HF31" s="1493"/>
      <c r="HG31" s="1493"/>
      <c r="HH31" s="1493"/>
      <c r="HI31" s="1493"/>
      <c r="HJ31" s="1493"/>
      <c r="HK31" s="1493"/>
      <c r="HL31" s="1493"/>
      <c r="HM31" s="1493"/>
      <c r="HN31" s="1493"/>
      <c r="HO31" s="1493"/>
      <c r="HP31" s="1493"/>
      <c r="HQ31" s="1493"/>
      <c r="HR31" s="1493"/>
      <c r="HS31" s="1493"/>
      <c r="HT31" s="1493"/>
      <c r="HU31" s="1493"/>
      <c r="HV31" s="1493"/>
      <c r="HW31" s="1493"/>
      <c r="HX31" s="1493"/>
      <c r="HY31" s="1493"/>
      <c r="HZ31" s="1493"/>
      <c r="IA31" s="1493"/>
      <c r="IB31" s="1493"/>
      <c r="IC31" s="1493"/>
      <c r="ID31" s="1493"/>
      <c r="IE31" s="1493"/>
      <c r="IF31" s="1493"/>
      <c r="IG31" s="1493"/>
      <c r="IH31" s="1493"/>
      <c r="II31" s="1493"/>
      <c r="IJ31" s="1493"/>
      <c r="IK31" s="1493"/>
      <c r="IL31" s="1493"/>
      <c r="IM31" s="1493"/>
      <c r="IN31" s="1493"/>
      <c r="IO31" s="1493"/>
      <c r="IP31" s="1493"/>
      <c r="IQ31" s="1493"/>
      <c r="IR31" s="1493"/>
      <c r="IS31" s="1493"/>
      <c r="IT31" s="1493"/>
      <c r="IU31" s="1493"/>
      <c r="IV31" s="1493"/>
    </row>
    <row r="32" spans="1:256">
      <c r="A32" s="1497">
        <f>+A30+1</f>
        <v>18</v>
      </c>
      <c r="B32" s="1494" t="s">
        <v>515</v>
      </c>
      <c r="C32" s="1506"/>
      <c r="D32" s="609">
        <f>+D30</f>
        <v>0</v>
      </c>
      <c r="E32" s="1494"/>
      <c r="F32" s="1494"/>
      <c r="G32" s="1494"/>
      <c r="H32" s="1506"/>
      <c r="I32" s="609">
        <f>+I30</f>
        <v>0</v>
      </c>
      <c r="J32" s="1493"/>
      <c r="K32" s="1493"/>
      <c r="L32" s="1493"/>
      <c r="M32" s="1493"/>
      <c r="N32" s="1493"/>
      <c r="O32" s="1493"/>
      <c r="P32" s="1493"/>
      <c r="Q32" s="1493"/>
      <c r="R32" s="1493"/>
      <c r="S32" s="1493"/>
      <c r="T32" s="1493"/>
      <c r="U32" s="1493"/>
      <c r="V32" s="1493"/>
      <c r="W32" s="1493"/>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1493"/>
      <c r="AS32" s="1493"/>
      <c r="AT32" s="1493"/>
      <c r="AU32" s="1493"/>
      <c r="AV32" s="1493"/>
      <c r="AW32" s="1493"/>
      <c r="AX32" s="1493"/>
      <c r="AY32" s="1493"/>
      <c r="AZ32" s="1493"/>
      <c r="BA32" s="1493"/>
      <c r="BB32" s="1493"/>
      <c r="BC32" s="1493"/>
      <c r="BD32" s="1493"/>
      <c r="BE32" s="1493"/>
      <c r="BF32" s="1493"/>
      <c r="BG32" s="1493"/>
      <c r="BH32" s="1493"/>
      <c r="BI32" s="1493"/>
      <c r="BJ32" s="1493"/>
      <c r="BK32" s="1493"/>
      <c r="BL32" s="1493"/>
      <c r="BM32" s="1493"/>
      <c r="BN32" s="1493"/>
      <c r="BO32" s="1493"/>
      <c r="BP32" s="1493"/>
      <c r="BQ32" s="1493"/>
      <c r="BR32" s="1493"/>
      <c r="BS32" s="1493"/>
      <c r="BT32" s="1493"/>
      <c r="BU32" s="1493"/>
      <c r="BV32" s="1493"/>
      <c r="BW32" s="1493"/>
      <c r="BX32" s="1493"/>
      <c r="BY32" s="1493"/>
      <c r="BZ32" s="1493"/>
      <c r="CA32" s="1493"/>
      <c r="CB32" s="1493"/>
      <c r="CC32" s="1493"/>
      <c r="CD32" s="1493"/>
      <c r="CE32" s="1493"/>
      <c r="CF32" s="1493"/>
      <c r="CG32" s="1493"/>
      <c r="CH32" s="1493"/>
      <c r="CI32" s="1493"/>
      <c r="CJ32" s="1493"/>
      <c r="CK32" s="1493"/>
      <c r="CL32" s="1493"/>
      <c r="CM32" s="1493"/>
      <c r="CN32" s="1493"/>
      <c r="CO32" s="1493"/>
      <c r="CP32" s="1493"/>
      <c r="CQ32" s="1493"/>
      <c r="CR32" s="1493"/>
      <c r="CS32" s="1493"/>
      <c r="CT32" s="1493"/>
      <c r="CU32" s="1493"/>
      <c r="CV32" s="1493"/>
      <c r="CW32" s="1493"/>
      <c r="CX32" s="1493"/>
      <c r="CY32" s="1493"/>
      <c r="CZ32" s="1493"/>
      <c r="DA32" s="1493"/>
      <c r="DB32" s="1493"/>
      <c r="DC32" s="1493"/>
      <c r="DD32" s="1493"/>
      <c r="DE32" s="1493"/>
      <c r="DF32" s="1493"/>
      <c r="DG32" s="1493"/>
      <c r="DH32" s="1493"/>
      <c r="DI32" s="1493"/>
      <c r="DJ32" s="1493"/>
      <c r="DK32" s="1493"/>
      <c r="DL32" s="1493"/>
      <c r="DM32" s="1493"/>
      <c r="DN32" s="1493"/>
      <c r="DO32" s="1493"/>
      <c r="DP32" s="1493"/>
      <c r="DQ32" s="1493"/>
      <c r="DR32" s="1493"/>
      <c r="DS32" s="1493"/>
      <c r="DT32" s="1493"/>
      <c r="DU32" s="1493"/>
      <c r="DV32" s="1493"/>
      <c r="DW32" s="1493"/>
      <c r="DX32" s="1493"/>
      <c r="DY32" s="1493"/>
      <c r="DZ32" s="1493"/>
      <c r="EA32" s="1493"/>
      <c r="EB32" s="1493"/>
      <c r="EC32" s="1493"/>
      <c r="ED32" s="1493"/>
      <c r="EE32" s="1493"/>
      <c r="EF32" s="1493"/>
      <c r="EG32" s="1493"/>
      <c r="EH32" s="1493"/>
      <c r="EI32" s="1493"/>
      <c r="EJ32" s="1493"/>
      <c r="EK32" s="1493"/>
      <c r="EL32" s="1493"/>
      <c r="EM32" s="1493"/>
      <c r="EN32" s="1493"/>
      <c r="EO32" s="1493"/>
      <c r="EP32" s="1493"/>
      <c r="EQ32" s="1493"/>
      <c r="ER32" s="1493"/>
      <c r="ES32" s="1493"/>
      <c r="ET32" s="1493"/>
      <c r="EU32" s="1493"/>
      <c r="EV32" s="1493"/>
      <c r="EW32" s="1493"/>
      <c r="EX32" s="1493"/>
      <c r="EY32" s="1493"/>
      <c r="EZ32" s="1493"/>
      <c r="FA32" s="1493"/>
      <c r="FB32" s="1493"/>
      <c r="FC32" s="1493"/>
      <c r="FD32" s="1493"/>
      <c r="FE32" s="1493"/>
      <c r="FF32" s="1493"/>
      <c r="FG32" s="1493"/>
      <c r="FH32" s="1493"/>
      <c r="FI32" s="1493"/>
      <c r="FJ32" s="1493"/>
      <c r="FK32" s="1493"/>
      <c r="FL32" s="1493"/>
      <c r="FM32" s="1493"/>
      <c r="FN32" s="1493"/>
      <c r="FO32" s="1493"/>
      <c r="FP32" s="1493"/>
      <c r="FQ32" s="1493"/>
      <c r="FR32" s="1493"/>
      <c r="FS32" s="1493"/>
      <c r="FT32" s="1493"/>
      <c r="FU32" s="1493"/>
      <c r="FV32" s="1493"/>
      <c r="FW32" s="1493"/>
      <c r="FX32" s="1493"/>
      <c r="FY32" s="1493"/>
      <c r="FZ32" s="1493"/>
      <c r="GA32" s="1493"/>
      <c r="GB32" s="1493"/>
      <c r="GC32" s="1493"/>
      <c r="GD32" s="1493"/>
      <c r="GE32" s="1493"/>
      <c r="GF32" s="1493"/>
      <c r="GG32" s="1493"/>
      <c r="GH32" s="1493"/>
      <c r="GI32" s="1493"/>
      <c r="GJ32" s="1493"/>
      <c r="GK32" s="1493"/>
      <c r="GL32" s="1493"/>
      <c r="GM32" s="1493"/>
      <c r="GN32" s="1493"/>
      <c r="GO32" s="1493"/>
      <c r="GP32" s="1493"/>
      <c r="GQ32" s="1493"/>
      <c r="GR32" s="1493"/>
      <c r="GS32" s="1493"/>
      <c r="GT32" s="1493"/>
      <c r="GU32" s="1493"/>
      <c r="GV32" s="1493"/>
      <c r="GW32" s="1493"/>
      <c r="GX32" s="1493"/>
      <c r="GY32" s="1493"/>
      <c r="GZ32" s="1493"/>
      <c r="HA32" s="1493"/>
      <c r="HB32" s="1493"/>
      <c r="HC32" s="1493"/>
      <c r="HD32" s="1493"/>
      <c r="HE32" s="1493"/>
      <c r="HF32" s="1493"/>
      <c r="HG32" s="1493"/>
      <c r="HH32" s="1493"/>
      <c r="HI32" s="1493"/>
      <c r="HJ32" s="1493"/>
      <c r="HK32" s="1493"/>
      <c r="HL32" s="1493"/>
      <c r="HM32" s="1493"/>
      <c r="HN32" s="1493"/>
      <c r="HO32" s="1493"/>
      <c r="HP32" s="1493"/>
      <c r="HQ32" s="1493"/>
      <c r="HR32" s="1493"/>
      <c r="HS32" s="1493"/>
      <c r="HT32" s="1493"/>
      <c r="HU32" s="1493"/>
      <c r="HV32" s="1493"/>
      <c r="HW32" s="1493"/>
      <c r="HX32" s="1493"/>
      <c r="HY32" s="1493"/>
      <c r="HZ32" s="1493"/>
      <c r="IA32" s="1493"/>
      <c r="IB32" s="1493"/>
      <c r="IC32" s="1493"/>
      <c r="ID32" s="1493"/>
      <c r="IE32" s="1493"/>
      <c r="IF32" s="1493"/>
      <c r="IG32" s="1493"/>
      <c r="IH32" s="1493"/>
      <c r="II32" s="1493"/>
      <c r="IJ32" s="1493"/>
      <c r="IK32" s="1493"/>
      <c r="IL32" s="1493"/>
      <c r="IM32" s="1493"/>
      <c r="IN32" s="1493"/>
      <c r="IO32" s="1493"/>
      <c r="IP32" s="1493"/>
      <c r="IQ32" s="1493"/>
      <c r="IR32" s="1493"/>
      <c r="IS32" s="1493"/>
      <c r="IT32" s="1493"/>
      <c r="IU32" s="1493"/>
      <c r="IV32" s="1493"/>
    </row>
    <row r="33" spans="1:256">
      <c r="A33" s="1497"/>
      <c r="B33" s="1507"/>
      <c r="C33" s="1507"/>
      <c r="D33" s="1507"/>
      <c r="E33" s="1507"/>
      <c r="F33" s="1507"/>
      <c r="G33" s="1507"/>
      <c r="H33" s="1507"/>
      <c r="I33" s="1507"/>
      <c r="J33" s="1493"/>
      <c r="K33" s="1493"/>
      <c r="L33" s="1493"/>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493"/>
      <c r="AL33" s="1493"/>
      <c r="AM33" s="1493"/>
      <c r="AN33" s="1493"/>
      <c r="AO33" s="1493"/>
      <c r="AP33" s="1493"/>
      <c r="AQ33" s="1493"/>
      <c r="AR33" s="1493"/>
      <c r="AS33" s="1493"/>
      <c r="AT33" s="1493"/>
      <c r="AU33" s="1493"/>
      <c r="AV33" s="1493"/>
      <c r="AW33" s="1493"/>
      <c r="AX33" s="1493"/>
      <c r="AY33" s="1493"/>
      <c r="AZ33" s="1493"/>
      <c r="BA33" s="1493"/>
      <c r="BB33" s="1493"/>
      <c r="BC33" s="1493"/>
      <c r="BD33" s="1493"/>
      <c r="BE33" s="1493"/>
      <c r="BF33" s="1493"/>
      <c r="BG33" s="1493"/>
      <c r="BH33" s="1493"/>
      <c r="BI33" s="1493"/>
      <c r="BJ33" s="1493"/>
      <c r="BK33" s="1493"/>
      <c r="BL33" s="1493"/>
      <c r="BM33" s="1493"/>
      <c r="BN33" s="1493"/>
      <c r="BO33" s="1493"/>
      <c r="BP33" s="1493"/>
      <c r="BQ33" s="1493"/>
      <c r="BR33" s="1493"/>
      <c r="BS33" s="1493"/>
      <c r="BT33" s="1493"/>
      <c r="BU33" s="1493"/>
      <c r="BV33" s="1493"/>
      <c r="BW33" s="1493"/>
      <c r="BX33" s="1493"/>
      <c r="BY33" s="1493"/>
      <c r="BZ33" s="1493"/>
      <c r="CA33" s="1493"/>
      <c r="CB33" s="1493"/>
      <c r="CC33" s="1493"/>
      <c r="CD33" s="1493"/>
      <c r="CE33" s="1493"/>
      <c r="CF33" s="1493"/>
      <c r="CG33" s="1493"/>
      <c r="CH33" s="1493"/>
      <c r="CI33" s="1493"/>
      <c r="CJ33" s="1493"/>
      <c r="CK33" s="1493"/>
      <c r="CL33" s="1493"/>
      <c r="CM33" s="1493"/>
      <c r="CN33" s="1493"/>
      <c r="CO33" s="1493"/>
      <c r="CP33" s="1493"/>
      <c r="CQ33" s="1493"/>
      <c r="CR33" s="1493"/>
      <c r="CS33" s="1493"/>
      <c r="CT33" s="1493"/>
      <c r="CU33" s="1493"/>
      <c r="CV33" s="1493"/>
      <c r="CW33" s="1493"/>
      <c r="CX33" s="1493"/>
      <c r="CY33" s="1493"/>
      <c r="CZ33" s="1493"/>
      <c r="DA33" s="1493"/>
      <c r="DB33" s="1493"/>
      <c r="DC33" s="1493"/>
      <c r="DD33" s="1493"/>
      <c r="DE33" s="1493"/>
      <c r="DF33" s="1493"/>
      <c r="DG33" s="1493"/>
      <c r="DH33" s="1493"/>
      <c r="DI33" s="1493"/>
      <c r="DJ33" s="1493"/>
      <c r="DK33" s="1493"/>
      <c r="DL33" s="1493"/>
      <c r="DM33" s="1493"/>
      <c r="DN33" s="1493"/>
      <c r="DO33" s="1493"/>
      <c r="DP33" s="1493"/>
      <c r="DQ33" s="1493"/>
      <c r="DR33" s="1493"/>
      <c r="DS33" s="1493"/>
      <c r="DT33" s="1493"/>
      <c r="DU33" s="1493"/>
      <c r="DV33" s="1493"/>
      <c r="DW33" s="1493"/>
      <c r="DX33" s="1493"/>
      <c r="DY33" s="1493"/>
      <c r="DZ33" s="1493"/>
      <c r="EA33" s="1493"/>
      <c r="EB33" s="1493"/>
      <c r="EC33" s="1493"/>
      <c r="ED33" s="1493"/>
      <c r="EE33" s="1493"/>
      <c r="EF33" s="1493"/>
      <c r="EG33" s="1493"/>
      <c r="EH33" s="1493"/>
      <c r="EI33" s="1493"/>
      <c r="EJ33" s="1493"/>
      <c r="EK33" s="1493"/>
      <c r="EL33" s="1493"/>
      <c r="EM33" s="1493"/>
      <c r="EN33" s="1493"/>
      <c r="EO33" s="1493"/>
      <c r="EP33" s="1493"/>
      <c r="EQ33" s="1493"/>
      <c r="ER33" s="1493"/>
      <c r="ES33" s="1493"/>
      <c r="ET33" s="1493"/>
      <c r="EU33" s="1493"/>
      <c r="EV33" s="1493"/>
      <c r="EW33" s="1493"/>
      <c r="EX33" s="1493"/>
      <c r="EY33" s="1493"/>
      <c r="EZ33" s="1493"/>
      <c r="FA33" s="1493"/>
      <c r="FB33" s="1493"/>
      <c r="FC33" s="1493"/>
      <c r="FD33" s="1493"/>
      <c r="FE33" s="1493"/>
      <c r="FF33" s="1493"/>
      <c r="FG33" s="1493"/>
      <c r="FH33" s="1493"/>
      <c r="FI33" s="1493"/>
      <c r="FJ33" s="1493"/>
      <c r="FK33" s="1493"/>
      <c r="FL33" s="1493"/>
      <c r="FM33" s="1493"/>
      <c r="FN33" s="1493"/>
      <c r="FO33" s="1493"/>
      <c r="FP33" s="1493"/>
      <c r="FQ33" s="1493"/>
      <c r="FR33" s="1493"/>
      <c r="FS33" s="1493"/>
      <c r="FT33" s="1493"/>
      <c r="FU33" s="1493"/>
      <c r="FV33" s="1493"/>
      <c r="FW33" s="1493"/>
      <c r="FX33" s="1493"/>
      <c r="FY33" s="1493"/>
      <c r="FZ33" s="1493"/>
      <c r="GA33" s="1493"/>
      <c r="GB33" s="1493"/>
      <c r="GC33" s="1493"/>
      <c r="GD33" s="1493"/>
      <c r="GE33" s="1493"/>
      <c r="GF33" s="1493"/>
      <c r="GG33" s="1493"/>
      <c r="GH33" s="1493"/>
      <c r="GI33" s="1493"/>
      <c r="GJ33" s="1493"/>
      <c r="GK33" s="1493"/>
      <c r="GL33" s="1493"/>
      <c r="GM33" s="1493"/>
      <c r="GN33" s="1493"/>
      <c r="GO33" s="1493"/>
      <c r="GP33" s="1493"/>
      <c r="GQ33" s="1493"/>
      <c r="GR33" s="1493"/>
      <c r="GS33" s="1493"/>
      <c r="GT33" s="1493"/>
      <c r="GU33" s="1493"/>
      <c r="GV33" s="1493"/>
      <c r="GW33" s="1493"/>
      <c r="GX33" s="1493"/>
      <c r="GY33" s="1493"/>
      <c r="GZ33" s="1493"/>
      <c r="HA33" s="1493"/>
      <c r="HB33" s="1493"/>
      <c r="HC33" s="1493"/>
      <c r="HD33" s="1493"/>
      <c r="HE33" s="1493"/>
      <c r="HF33" s="1493"/>
      <c r="HG33" s="1493"/>
      <c r="HH33" s="1493"/>
      <c r="HI33" s="1493"/>
      <c r="HJ33" s="1493"/>
      <c r="HK33" s="1493"/>
      <c r="HL33" s="1493"/>
      <c r="HM33" s="1493"/>
      <c r="HN33" s="1493"/>
      <c r="HO33" s="1493"/>
      <c r="HP33" s="1493"/>
      <c r="HQ33" s="1493"/>
      <c r="HR33" s="1493"/>
      <c r="HS33" s="1493"/>
      <c r="HT33" s="1493"/>
      <c r="HU33" s="1493"/>
      <c r="HV33" s="1493"/>
      <c r="HW33" s="1493"/>
      <c r="HX33" s="1493"/>
      <c r="HY33" s="1493"/>
      <c r="HZ33" s="1493"/>
      <c r="IA33" s="1493"/>
      <c r="IB33" s="1493"/>
      <c r="IC33" s="1493"/>
      <c r="ID33" s="1493"/>
      <c r="IE33" s="1493"/>
      <c r="IF33" s="1493"/>
      <c r="IG33" s="1493"/>
      <c r="IH33" s="1493"/>
      <c r="II33" s="1493"/>
      <c r="IJ33" s="1493"/>
      <c r="IK33" s="1493"/>
      <c r="IL33" s="1493"/>
      <c r="IM33" s="1493"/>
      <c r="IN33" s="1493"/>
      <c r="IO33" s="1493"/>
      <c r="IP33" s="1493"/>
      <c r="IQ33" s="1493"/>
      <c r="IR33" s="1493"/>
      <c r="IS33" s="1493"/>
      <c r="IT33" s="1493"/>
      <c r="IU33" s="1493"/>
      <c r="IV33" s="1493"/>
    </row>
    <row r="34" spans="1:256" ht="13.5" thickBot="1">
      <c r="A34" s="1497">
        <f>+A32+1</f>
        <v>19</v>
      </c>
      <c r="B34" s="1508" t="str">
        <f>"Proration Adjustment - Line "&amp;A32&amp;" Col. "&amp;I16&amp;" less Col. "&amp;D16</f>
        <v>Proration Adjustment - Line 18 Col. (H) less Col. (C )</v>
      </c>
      <c r="C34" s="1508"/>
      <c r="D34" s="1508"/>
      <c r="E34" s="1508"/>
      <c r="F34" s="1508"/>
      <c r="G34" s="1508"/>
      <c r="H34" s="1508"/>
      <c r="I34" s="1509">
        <f>+I32-D32</f>
        <v>0</v>
      </c>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93"/>
      <c r="BN34" s="1493"/>
      <c r="BO34" s="1493"/>
      <c r="BP34" s="1493"/>
      <c r="BQ34" s="1493"/>
      <c r="BR34" s="1493"/>
      <c r="BS34" s="1493"/>
      <c r="BT34" s="1493"/>
      <c r="BU34" s="1493"/>
      <c r="BV34" s="1493"/>
      <c r="BW34" s="1493"/>
      <c r="BX34" s="1493"/>
      <c r="BY34" s="1493"/>
      <c r="BZ34" s="1493"/>
      <c r="CA34" s="1493"/>
      <c r="CB34" s="1493"/>
      <c r="CC34" s="1493"/>
      <c r="CD34" s="1493"/>
      <c r="CE34" s="1493"/>
      <c r="CF34" s="1493"/>
      <c r="CG34" s="1493"/>
      <c r="CH34" s="1493"/>
      <c r="CI34" s="1493"/>
      <c r="CJ34" s="1493"/>
      <c r="CK34" s="1493"/>
      <c r="CL34" s="1493"/>
      <c r="CM34" s="1493"/>
      <c r="CN34" s="1493"/>
      <c r="CO34" s="1493"/>
      <c r="CP34" s="1493"/>
      <c r="CQ34" s="1493"/>
      <c r="CR34" s="1493"/>
      <c r="CS34" s="1493"/>
      <c r="CT34" s="1493"/>
      <c r="CU34" s="1493"/>
      <c r="CV34" s="1493"/>
      <c r="CW34" s="1493"/>
      <c r="CX34" s="1493"/>
      <c r="CY34" s="1493"/>
      <c r="CZ34" s="1493"/>
      <c r="DA34" s="1493"/>
      <c r="DB34" s="1493"/>
      <c r="DC34" s="1493"/>
      <c r="DD34" s="1493"/>
      <c r="DE34" s="1493"/>
      <c r="DF34" s="1493"/>
      <c r="DG34" s="1493"/>
      <c r="DH34" s="1493"/>
      <c r="DI34" s="1493"/>
      <c r="DJ34" s="1493"/>
      <c r="DK34" s="1493"/>
      <c r="DL34" s="1493"/>
      <c r="DM34" s="1493"/>
      <c r="DN34" s="1493"/>
      <c r="DO34" s="1493"/>
      <c r="DP34" s="1493"/>
      <c r="DQ34" s="1493"/>
      <c r="DR34" s="1493"/>
      <c r="DS34" s="1493"/>
      <c r="DT34" s="1493"/>
      <c r="DU34" s="1493"/>
      <c r="DV34" s="1493"/>
      <c r="DW34" s="1493"/>
      <c r="DX34" s="1493"/>
      <c r="DY34" s="1493"/>
      <c r="DZ34" s="1493"/>
      <c r="EA34" s="1493"/>
      <c r="EB34" s="1493"/>
      <c r="EC34" s="1493"/>
      <c r="ED34" s="1493"/>
      <c r="EE34" s="1493"/>
      <c r="EF34" s="1493"/>
      <c r="EG34" s="1493"/>
      <c r="EH34" s="1493"/>
      <c r="EI34" s="1493"/>
      <c r="EJ34" s="1493"/>
      <c r="EK34" s="1493"/>
      <c r="EL34" s="1493"/>
      <c r="EM34" s="1493"/>
      <c r="EN34" s="1493"/>
      <c r="EO34" s="1493"/>
      <c r="EP34" s="1493"/>
      <c r="EQ34" s="1493"/>
      <c r="ER34" s="1493"/>
      <c r="ES34" s="1493"/>
      <c r="ET34" s="1493"/>
      <c r="EU34" s="1493"/>
      <c r="EV34" s="1493"/>
      <c r="EW34" s="1493"/>
      <c r="EX34" s="1493"/>
      <c r="EY34" s="1493"/>
      <c r="EZ34" s="1493"/>
      <c r="FA34" s="1493"/>
      <c r="FB34" s="1493"/>
      <c r="FC34" s="1493"/>
      <c r="FD34" s="1493"/>
      <c r="FE34" s="1493"/>
      <c r="FF34" s="1493"/>
      <c r="FG34" s="1493"/>
      <c r="FH34" s="1493"/>
      <c r="FI34" s="1493"/>
      <c r="FJ34" s="1493"/>
      <c r="FK34" s="1493"/>
      <c r="FL34" s="1493"/>
      <c r="FM34" s="1493"/>
      <c r="FN34" s="1493"/>
      <c r="FO34" s="1493"/>
      <c r="FP34" s="1493"/>
      <c r="FQ34" s="1493"/>
      <c r="FR34" s="1493"/>
      <c r="FS34" s="1493"/>
      <c r="FT34" s="1493"/>
      <c r="FU34" s="1493"/>
      <c r="FV34" s="1493"/>
      <c r="FW34" s="1493"/>
      <c r="FX34" s="1493"/>
      <c r="FY34" s="1493"/>
      <c r="FZ34" s="1493"/>
      <c r="GA34" s="1493"/>
      <c r="GB34" s="1493"/>
      <c r="GC34" s="1493"/>
      <c r="GD34" s="1493"/>
      <c r="GE34" s="1493"/>
      <c r="GF34" s="1493"/>
      <c r="GG34" s="1493"/>
      <c r="GH34" s="1493"/>
      <c r="GI34" s="1493"/>
      <c r="GJ34" s="1493"/>
      <c r="GK34" s="1493"/>
      <c r="GL34" s="1493"/>
      <c r="GM34" s="1493"/>
      <c r="GN34" s="1493"/>
      <c r="GO34" s="1493"/>
      <c r="GP34" s="1493"/>
      <c r="GQ34" s="1493"/>
      <c r="GR34" s="1493"/>
      <c r="GS34" s="1493"/>
      <c r="GT34" s="1493"/>
      <c r="GU34" s="1493"/>
      <c r="GV34" s="1493"/>
      <c r="GW34" s="1493"/>
      <c r="GX34" s="1493"/>
      <c r="GY34" s="1493"/>
      <c r="GZ34" s="1493"/>
      <c r="HA34" s="1493"/>
      <c r="HB34" s="1493"/>
      <c r="HC34" s="1493"/>
      <c r="HD34" s="1493"/>
      <c r="HE34" s="1493"/>
      <c r="HF34" s="1493"/>
      <c r="HG34" s="1493"/>
      <c r="HH34" s="1493"/>
      <c r="HI34" s="1493"/>
      <c r="HJ34" s="1493"/>
      <c r="HK34" s="1493"/>
      <c r="HL34" s="1493"/>
      <c r="HM34" s="1493"/>
      <c r="HN34" s="1493"/>
      <c r="HO34" s="1493"/>
      <c r="HP34" s="1493"/>
      <c r="HQ34" s="1493"/>
      <c r="HR34" s="1493"/>
      <c r="HS34" s="1493"/>
      <c r="HT34" s="1493"/>
      <c r="HU34" s="1493"/>
      <c r="HV34" s="1493"/>
      <c r="HW34" s="1493"/>
      <c r="HX34" s="1493"/>
      <c r="HY34" s="1493"/>
      <c r="HZ34" s="1493"/>
      <c r="IA34" s="1493"/>
      <c r="IB34" s="1493"/>
      <c r="IC34" s="1493"/>
      <c r="ID34" s="1493"/>
      <c r="IE34" s="1493"/>
      <c r="IF34" s="1493"/>
      <c r="IG34" s="1493"/>
      <c r="IH34" s="1493"/>
      <c r="II34" s="1493"/>
      <c r="IJ34" s="1493"/>
      <c r="IK34" s="1493"/>
      <c r="IL34" s="1493"/>
      <c r="IM34" s="1493"/>
      <c r="IN34" s="1493"/>
      <c r="IO34" s="1493"/>
      <c r="IP34" s="1493"/>
      <c r="IQ34" s="1493"/>
      <c r="IR34" s="1493"/>
      <c r="IS34" s="1493"/>
      <c r="IT34" s="1493"/>
      <c r="IU34" s="1493"/>
      <c r="IV34" s="1493"/>
    </row>
    <row r="35" spans="1:256" ht="13.5" thickTop="1">
      <c r="A35" s="1493"/>
      <c r="B35" s="1507"/>
      <c r="C35" s="1507"/>
      <c r="D35" s="1507"/>
      <c r="E35" s="1507"/>
      <c r="F35" s="1507"/>
      <c r="G35" s="1507"/>
      <c r="H35" s="1507"/>
      <c r="I35" s="1507"/>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493"/>
      <c r="AS35" s="1493"/>
      <c r="AT35" s="1493"/>
      <c r="AU35" s="1493"/>
      <c r="AV35" s="1493"/>
      <c r="AW35" s="1493"/>
      <c r="AX35" s="1493"/>
      <c r="AY35" s="1493"/>
      <c r="AZ35" s="1493"/>
      <c r="BA35" s="1493"/>
      <c r="BB35" s="1493"/>
      <c r="BC35" s="1493"/>
      <c r="BD35" s="1493"/>
      <c r="BE35" s="1493"/>
      <c r="BF35" s="1493"/>
      <c r="BG35" s="1493"/>
      <c r="BH35" s="1493"/>
      <c r="BI35" s="1493"/>
      <c r="BJ35" s="1493"/>
      <c r="BK35" s="1493"/>
      <c r="BL35" s="1493"/>
      <c r="BM35" s="1493"/>
      <c r="BN35" s="1493"/>
      <c r="BO35" s="1493"/>
      <c r="BP35" s="1493"/>
      <c r="BQ35" s="1493"/>
      <c r="BR35" s="1493"/>
      <c r="BS35" s="1493"/>
      <c r="BT35" s="1493"/>
      <c r="BU35" s="1493"/>
      <c r="BV35" s="1493"/>
      <c r="BW35" s="1493"/>
      <c r="BX35" s="1493"/>
      <c r="BY35" s="1493"/>
      <c r="BZ35" s="1493"/>
      <c r="CA35" s="1493"/>
      <c r="CB35" s="1493"/>
      <c r="CC35" s="1493"/>
      <c r="CD35" s="1493"/>
      <c r="CE35" s="1493"/>
      <c r="CF35" s="1493"/>
      <c r="CG35" s="1493"/>
      <c r="CH35" s="1493"/>
      <c r="CI35" s="1493"/>
      <c r="CJ35" s="1493"/>
      <c r="CK35" s="1493"/>
      <c r="CL35" s="1493"/>
      <c r="CM35" s="1493"/>
      <c r="CN35" s="1493"/>
      <c r="CO35" s="1493"/>
      <c r="CP35" s="1493"/>
      <c r="CQ35" s="1493"/>
      <c r="CR35" s="1493"/>
      <c r="CS35" s="1493"/>
      <c r="CT35" s="1493"/>
      <c r="CU35" s="1493"/>
      <c r="CV35" s="1493"/>
      <c r="CW35" s="1493"/>
      <c r="CX35" s="1493"/>
      <c r="CY35" s="1493"/>
      <c r="CZ35" s="1493"/>
      <c r="DA35" s="1493"/>
      <c r="DB35" s="1493"/>
      <c r="DC35" s="1493"/>
      <c r="DD35" s="1493"/>
      <c r="DE35" s="1493"/>
      <c r="DF35" s="1493"/>
      <c r="DG35" s="1493"/>
      <c r="DH35" s="1493"/>
      <c r="DI35" s="1493"/>
      <c r="DJ35" s="1493"/>
      <c r="DK35" s="1493"/>
      <c r="DL35" s="1493"/>
      <c r="DM35" s="1493"/>
      <c r="DN35" s="1493"/>
      <c r="DO35" s="1493"/>
      <c r="DP35" s="1493"/>
      <c r="DQ35" s="1493"/>
      <c r="DR35" s="1493"/>
      <c r="DS35" s="1493"/>
      <c r="DT35" s="1493"/>
      <c r="DU35" s="1493"/>
      <c r="DV35" s="1493"/>
      <c r="DW35" s="1493"/>
      <c r="DX35" s="1493"/>
      <c r="DY35" s="1493"/>
      <c r="DZ35" s="1493"/>
      <c r="EA35" s="1493"/>
      <c r="EB35" s="1493"/>
      <c r="EC35" s="1493"/>
      <c r="ED35" s="1493"/>
      <c r="EE35" s="1493"/>
      <c r="EF35" s="1493"/>
      <c r="EG35" s="1493"/>
      <c r="EH35" s="1493"/>
      <c r="EI35" s="1493"/>
      <c r="EJ35" s="1493"/>
      <c r="EK35" s="1493"/>
      <c r="EL35" s="1493"/>
      <c r="EM35" s="1493"/>
      <c r="EN35" s="1493"/>
      <c r="EO35" s="1493"/>
      <c r="EP35" s="1493"/>
      <c r="EQ35" s="1493"/>
      <c r="ER35" s="1493"/>
      <c r="ES35" s="1493"/>
      <c r="ET35" s="1493"/>
      <c r="EU35" s="1493"/>
      <c r="EV35" s="1493"/>
      <c r="EW35" s="1493"/>
      <c r="EX35" s="1493"/>
      <c r="EY35" s="1493"/>
      <c r="EZ35" s="1493"/>
      <c r="FA35" s="1493"/>
      <c r="FB35" s="1493"/>
      <c r="FC35" s="1493"/>
      <c r="FD35" s="1493"/>
      <c r="FE35" s="1493"/>
      <c r="FF35" s="1493"/>
      <c r="FG35" s="1493"/>
      <c r="FH35" s="1493"/>
      <c r="FI35" s="1493"/>
      <c r="FJ35" s="1493"/>
      <c r="FK35" s="1493"/>
      <c r="FL35" s="1493"/>
      <c r="FM35" s="1493"/>
      <c r="FN35" s="1493"/>
      <c r="FO35" s="1493"/>
      <c r="FP35" s="1493"/>
      <c r="FQ35" s="1493"/>
      <c r="FR35" s="1493"/>
      <c r="FS35" s="1493"/>
      <c r="FT35" s="1493"/>
      <c r="FU35" s="1493"/>
      <c r="FV35" s="1493"/>
      <c r="FW35" s="1493"/>
      <c r="FX35" s="1493"/>
      <c r="FY35" s="1493"/>
      <c r="FZ35" s="1493"/>
      <c r="GA35" s="1493"/>
      <c r="GB35" s="1493"/>
      <c r="GC35" s="1493"/>
      <c r="GD35" s="1493"/>
      <c r="GE35" s="1493"/>
      <c r="GF35" s="1493"/>
      <c r="GG35" s="1493"/>
      <c r="GH35" s="1493"/>
      <c r="GI35" s="1493"/>
      <c r="GJ35" s="1493"/>
      <c r="GK35" s="1493"/>
      <c r="GL35" s="1493"/>
      <c r="GM35" s="1493"/>
      <c r="GN35" s="1493"/>
      <c r="GO35" s="1493"/>
      <c r="GP35" s="1493"/>
      <c r="GQ35" s="1493"/>
      <c r="GR35" s="1493"/>
      <c r="GS35" s="1493"/>
      <c r="GT35" s="1493"/>
      <c r="GU35" s="1493"/>
      <c r="GV35" s="1493"/>
      <c r="GW35" s="1493"/>
      <c r="GX35" s="1493"/>
      <c r="GY35" s="1493"/>
      <c r="GZ35" s="1493"/>
      <c r="HA35" s="1493"/>
      <c r="HB35" s="1493"/>
      <c r="HC35" s="1493"/>
      <c r="HD35" s="1493"/>
      <c r="HE35" s="1493"/>
      <c r="HF35" s="1493"/>
      <c r="HG35" s="1493"/>
      <c r="HH35" s="1493"/>
      <c r="HI35" s="1493"/>
      <c r="HJ35" s="1493"/>
      <c r="HK35" s="1493"/>
      <c r="HL35" s="1493"/>
      <c r="HM35" s="1493"/>
      <c r="HN35" s="1493"/>
      <c r="HO35" s="1493"/>
      <c r="HP35" s="1493"/>
      <c r="HQ35" s="1493"/>
      <c r="HR35" s="1493"/>
      <c r="HS35" s="1493"/>
      <c r="HT35" s="1493"/>
      <c r="HU35" s="1493"/>
      <c r="HV35" s="1493"/>
      <c r="HW35" s="1493"/>
      <c r="HX35" s="1493"/>
      <c r="HY35" s="1493"/>
      <c r="HZ35" s="1493"/>
      <c r="IA35" s="1493"/>
      <c r="IB35" s="1493"/>
      <c r="IC35" s="1493"/>
      <c r="ID35" s="1493"/>
      <c r="IE35" s="1493"/>
      <c r="IF35" s="1493"/>
      <c r="IG35" s="1493"/>
      <c r="IH35" s="1493"/>
      <c r="II35" s="1493"/>
      <c r="IJ35" s="1493"/>
      <c r="IK35" s="1493"/>
      <c r="IL35" s="1493"/>
      <c r="IM35" s="1493"/>
      <c r="IN35" s="1493"/>
      <c r="IO35" s="1493"/>
      <c r="IP35" s="1493"/>
      <c r="IQ35" s="1493"/>
      <c r="IR35" s="1493"/>
      <c r="IS35" s="1493"/>
      <c r="IT35" s="1493"/>
      <c r="IU35" s="1493"/>
      <c r="IV35" s="1493"/>
    </row>
    <row r="36" spans="1:256">
      <c r="A36" s="1496" t="s">
        <v>611</v>
      </c>
      <c r="B36" s="1495"/>
      <c r="C36" s="1493"/>
      <c r="D36" s="1495"/>
      <c r="E36" s="2308" t="s">
        <v>342</v>
      </c>
      <c r="F36" s="2308"/>
      <c r="G36" s="1495"/>
      <c r="H36" s="1495"/>
      <c r="I36" s="1495"/>
      <c r="J36" s="1493"/>
      <c r="K36" s="1493"/>
      <c r="L36" s="1493"/>
      <c r="M36" s="1493"/>
      <c r="N36" s="1493"/>
      <c r="O36" s="1493"/>
      <c r="P36" s="1493"/>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493"/>
      <c r="AS36" s="1493"/>
      <c r="AT36" s="1493"/>
      <c r="AU36" s="1493"/>
      <c r="AV36" s="1493"/>
      <c r="AW36" s="1493"/>
      <c r="AX36" s="1493"/>
      <c r="AY36" s="1493"/>
      <c r="AZ36" s="1493"/>
      <c r="BA36" s="1493"/>
      <c r="BB36" s="1493"/>
      <c r="BC36" s="1493"/>
      <c r="BD36" s="1493"/>
      <c r="BE36" s="1493"/>
      <c r="BF36" s="1493"/>
      <c r="BG36" s="1493"/>
      <c r="BH36" s="1493"/>
      <c r="BI36" s="1493"/>
      <c r="BJ36" s="1493"/>
      <c r="BK36" s="1493"/>
      <c r="BL36" s="1493"/>
      <c r="BM36" s="1493"/>
      <c r="BN36" s="1493"/>
      <c r="BO36" s="1493"/>
      <c r="BP36" s="1493"/>
      <c r="BQ36" s="1493"/>
      <c r="BR36" s="1493"/>
      <c r="BS36" s="1493"/>
      <c r="BT36" s="1493"/>
      <c r="BU36" s="1493"/>
      <c r="BV36" s="1493"/>
      <c r="BW36" s="1493"/>
      <c r="BX36" s="1493"/>
      <c r="BY36" s="1493"/>
      <c r="BZ36" s="1493"/>
      <c r="CA36" s="1493"/>
      <c r="CB36" s="1493"/>
      <c r="CC36" s="1493"/>
      <c r="CD36" s="1493"/>
      <c r="CE36" s="1493"/>
      <c r="CF36" s="1493"/>
      <c r="CG36" s="1493"/>
      <c r="CH36" s="1493"/>
      <c r="CI36" s="1493"/>
      <c r="CJ36" s="1493"/>
      <c r="CK36" s="1493"/>
      <c r="CL36" s="1493"/>
      <c r="CM36" s="1493"/>
      <c r="CN36" s="1493"/>
      <c r="CO36" s="1493"/>
      <c r="CP36" s="1493"/>
      <c r="CQ36" s="1493"/>
      <c r="CR36" s="1493"/>
      <c r="CS36" s="1493"/>
      <c r="CT36" s="1493"/>
      <c r="CU36" s="1493"/>
      <c r="CV36" s="1493"/>
      <c r="CW36" s="1493"/>
      <c r="CX36" s="1493"/>
      <c r="CY36" s="1493"/>
      <c r="CZ36" s="1493"/>
      <c r="DA36" s="1493"/>
      <c r="DB36" s="1493"/>
      <c r="DC36" s="1493"/>
      <c r="DD36" s="1493"/>
      <c r="DE36" s="1493"/>
      <c r="DF36" s="1493"/>
      <c r="DG36" s="1493"/>
      <c r="DH36" s="1493"/>
      <c r="DI36" s="1493"/>
      <c r="DJ36" s="1493"/>
      <c r="DK36" s="1493"/>
      <c r="DL36" s="1493"/>
      <c r="DM36" s="1493"/>
      <c r="DN36" s="1493"/>
      <c r="DO36" s="1493"/>
      <c r="DP36" s="1493"/>
      <c r="DQ36" s="1493"/>
      <c r="DR36" s="1493"/>
      <c r="DS36" s="1493"/>
      <c r="DT36" s="1493"/>
      <c r="DU36" s="1493"/>
      <c r="DV36" s="1493"/>
      <c r="DW36" s="1493"/>
      <c r="DX36" s="1493"/>
      <c r="DY36" s="1493"/>
      <c r="DZ36" s="1493"/>
      <c r="EA36" s="1493"/>
      <c r="EB36" s="1493"/>
      <c r="EC36" s="1493"/>
      <c r="ED36" s="1493"/>
      <c r="EE36" s="1493"/>
      <c r="EF36" s="1493"/>
      <c r="EG36" s="1493"/>
      <c r="EH36" s="1493"/>
      <c r="EI36" s="1493"/>
      <c r="EJ36" s="1493"/>
      <c r="EK36" s="1493"/>
      <c r="EL36" s="1493"/>
      <c r="EM36" s="1493"/>
      <c r="EN36" s="1493"/>
      <c r="EO36" s="1493"/>
      <c r="EP36" s="1493"/>
      <c r="EQ36" s="1493"/>
      <c r="ER36" s="1493"/>
      <c r="ES36" s="1493"/>
      <c r="ET36" s="1493"/>
      <c r="EU36" s="1493"/>
      <c r="EV36" s="1493"/>
      <c r="EW36" s="1493"/>
      <c r="EX36" s="1493"/>
      <c r="EY36" s="1493"/>
      <c r="EZ36" s="1493"/>
      <c r="FA36" s="1493"/>
      <c r="FB36" s="1493"/>
      <c r="FC36" s="1493"/>
      <c r="FD36" s="1493"/>
      <c r="FE36" s="1493"/>
      <c r="FF36" s="1493"/>
      <c r="FG36" s="1493"/>
      <c r="FH36" s="1493"/>
      <c r="FI36" s="1493"/>
      <c r="FJ36" s="1493"/>
      <c r="FK36" s="1493"/>
      <c r="FL36" s="1493"/>
      <c r="FM36" s="1493"/>
      <c r="FN36" s="1493"/>
      <c r="FO36" s="1493"/>
      <c r="FP36" s="1493"/>
      <c r="FQ36" s="1493"/>
      <c r="FR36" s="1493"/>
      <c r="FS36" s="1493"/>
      <c r="FT36" s="1493"/>
      <c r="FU36" s="1493"/>
      <c r="FV36" s="1493"/>
      <c r="FW36" s="1493"/>
      <c r="FX36" s="1493"/>
      <c r="FY36" s="1493"/>
      <c r="FZ36" s="1493"/>
      <c r="GA36" s="1493"/>
      <c r="GB36" s="1493"/>
      <c r="GC36" s="1493"/>
      <c r="GD36" s="1493"/>
      <c r="GE36" s="1493"/>
      <c r="GF36" s="1493"/>
      <c r="GG36" s="1493"/>
      <c r="GH36" s="1493"/>
      <c r="GI36" s="1493"/>
      <c r="GJ36" s="1493"/>
      <c r="GK36" s="1493"/>
      <c r="GL36" s="1493"/>
      <c r="GM36" s="1493"/>
      <c r="GN36" s="1493"/>
      <c r="GO36" s="1493"/>
      <c r="GP36" s="1493"/>
      <c r="GQ36" s="1493"/>
      <c r="GR36" s="1493"/>
      <c r="GS36" s="1493"/>
      <c r="GT36" s="1493"/>
      <c r="GU36" s="1493"/>
      <c r="GV36" s="1493"/>
      <c r="GW36" s="1493"/>
      <c r="GX36" s="1493"/>
      <c r="GY36" s="1493"/>
      <c r="GZ36" s="1493"/>
      <c r="HA36" s="1493"/>
      <c r="HB36" s="1493"/>
      <c r="HC36" s="1493"/>
      <c r="HD36" s="1493"/>
      <c r="HE36" s="1493"/>
      <c r="HF36" s="1493"/>
      <c r="HG36" s="1493"/>
      <c r="HH36" s="1493"/>
      <c r="HI36" s="1493"/>
      <c r="HJ36" s="1493"/>
      <c r="HK36" s="1493"/>
      <c r="HL36" s="1493"/>
      <c r="HM36" s="1493"/>
      <c r="HN36" s="1493"/>
      <c r="HO36" s="1493"/>
      <c r="HP36" s="1493"/>
      <c r="HQ36" s="1493"/>
      <c r="HR36" s="1493"/>
      <c r="HS36" s="1493"/>
      <c r="HT36" s="1493"/>
      <c r="HU36" s="1493"/>
      <c r="HV36" s="1493"/>
      <c r="HW36" s="1493"/>
      <c r="HX36" s="1493"/>
      <c r="HY36" s="1493"/>
      <c r="HZ36" s="1493"/>
      <c r="IA36" s="1493"/>
      <c r="IB36" s="1493"/>
      <c r="IC36" s="1493"/>
      <c r="ID36" s="1493"/>
      <c r="IE36" s="1493"/>
      <c r="IF36" s="1493"/>
      <c r="IG36" s="1493"/>
      <c r="IH36" s="1493"/>
      <c r="II36" s="1493"/>
      <c r="IJ36" s="1493"/>
      <c r="IK36" s="1493"/>
      <c r="IL36" s="1493"/>
      <c r="IM36" s="1493"/>
      <c r="IN36" s="1493"/>
      <c r="IO36" s="1493"/>
      <c r="IP36" s="1493"/>
      <c r="IQ36" s="1493"/>
      <c r="IR36" s="1493"/>
      <c r="IS36" s="1493"/>
      <c r="IT36" s="1493"/>
      <c r="IU36" s="1493"/>
      <c r="IV36" s="1493"/>
    </row>
    <row r="37" spans="1:256">
      <c r="A37" s="1497">
        <f>+A34+1</f>
        <v>20</v>
      </c>
      <c r="B37" s="1498" t="s">
        <v>666</v>
      </c>
      <c r="C37" s="1498"/>
      <c r="D37" s="1498"/>
      <c r="E37" s="1498" t="s">
        <v>521</v>
      </c>
      <c r="F37" s="1495"/>
      <c r="G37" s="1493"/>
      <c r="H37" s="443">
        <v>0</v>
      </c>
      <c r="I37" s="1495"/>
      <c r="J37" s="1493"/>
      <c r="K37" s="1493"/>
      <c r="L37" s="1493"/>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493"/>
      <c r="AS37" s="1493"/>
      <c r="AT37" s="1493"/>
      <c r="AU37" s="1493"/>
      <c r="AV37" s="1493"/>
      <c r="AW37" s="1493"/>
      <c r="AX37" s="1493"/>
      <c r="AY37" s="1493"/>
      <c r="AZ37" s="1493"/>
      <c r="BA37" s="1493"/>
      <c r="BB37" s="1493"/>
      <c r="BC37" s="1493"/>
      <c r="BD37" s="1493"/>
      <c r="BE37" s="1493"/>
      <c r="BF37" s="1493"/>
      <c r="BG37" s="1493"/>
      <c r="BH37" s="1493"/>
      <c r="BI37" s="1493"/>
      <c r="BJ37" s="1493"/>
      <c r="BK37" s="1493"/>
      <c r="BL37" s="1493"/>
      <c r="BM37" s="1493"/>
      <c r="BN37" s="1493"/>
      <c r="BO37" s="1493"/>
      <c r="BP37" s="1493"/>
      <c r="BQ37" s="1493"/>
      <c r="BR37" s="1493"/>
      <c r="BS37" s="1493"/>
      <c r="BT37" s="1493"/>
      <c r="BU37" s="1493"/>
      <c r="BV37" s="1493"/>
      <c r="BW37" s="1493"/>
      <c r="BX37" s="1493"/>
      <c r="BY37" s="1493"/>
      <c r="BZ37" s="1493"/>
      <c r="CA37" s="1493"/>
      <c r="CB37" s="1493"/>
      <c r="CC37" s="1493"/>
      <c r="CD37" s="1493"/>
      <c r="CE37" s="1493"/>
      <c r="CF37" s="1493"/>
      <c r="CG37" s="1493"/>
      <c r="CH37" s="1493"/>
      <c r="CI37" s="1493"/>
      <c r="CJ37" s="1493"/>
      <c r="CK37" s="1493"/>
      <c r="CL37" s="1493"/>
      <c r="CM37" s="1493"/>
      <c r="CN37" s="1493"/>
      <c r="CO37" s="1493"/>
      <c r="CP37" s="1493"/>
      <c r="CQ37" s="1493"/>
      <c r="CR37" s="1493"/>
      <c r="CS37" s="1493"/>
      <c r="CT37" s="1493"/>
      <c r="CU37" s="1493"/>
      <c r="CV37" s="1493"/>
      <c r="CW37" s="1493"/>
      <c r="CX37" s="1493"/>
      <c r="CY37" s="1493"/>
      <c r="CZ37" s="1493"/>
      <c r="DA37" s="1493"/>
      <c r="DB37" s="1493"/>
      <c r="DC37" s="1493"/>
      <c r="DD37" s="1493"/>
      <c r="DE37" s="1493"/>
      <c r="DF37" s="1493"/>
      <c r="DG37" s="1493"/>
      <c r="DH37" s="1493"/>
      <c r="DI37" s="1493"/>
      <c r="DJ37" s="1493"/>
      <c r="DK37" s="1493"/>
      <c r="DL37" s="1493"/>
      <c r="DM37" s="1493"/>
      <c r="DN37" s="1493"/>
      <c r="DO37" s="1493"/>
      <c r="DP37" s="1493"/>
      <c r="DQ37" s="1493"/>
      <c r="DR37" s="1493"/>
      <c r="DS37" s="1493"/>
      <c r="DT37" s="1493"/>
      <c r="DU37" s="1493"/>
      <c r="DV37" s="1493"/>
      <c r="DW37" s="1493"/>
      <c r="DX37" s="1493"/>
      <c r="DY37" s="1493"/>
      <c r="DZ37" s="1493"/>
      <c r="EA37" s="1493"/>
      <c r="EB37" s="1493"/>
      <c r="EC37" s="1493"/>
      <c r="ED37" s="1493"/>
      <c r="EE37" s="1493"/>
      <c r="EF37" s="1493"/>
      <c r="EG37" s="1493"/>
      <c r="EH37" s="1493"/>
      <c r="EI37" s="1493"/>
      <c r="EJ37" s="1493"/>
      <c r="EK37" s="1493"/>
      <c r="EL37" s="1493"/>
      <c r="EM37" s="1493"/>
      <c r="EN37" s="1493"/>
      <c r="EO37" s="1493"/>
      <c r="EP37" s="1493"/>
      <c r="EQ37" s="1493"/>
      <c r="ER37" s="1493"/>
      <c r="ES37" s="1493"/>
      <c r="ET37" s="1493"/>
      <c r="EU37" s="1493"/>
      <c r="EV37" s="1493"/>
      <c r="EW37" s="1493"/>
      <c r="EX37" s="1493"/>
      <c r="EY37" s="1493"/>
      <c r="EZ37" s="1493"/>
      <c r="FA37" s="1493"/>
      <c r="FB37" s="1493"/>
      <c r="FC37" s="1493"/>
      <c r="FD37" s="1493"/>
      <c r="FE37" s="1493"/>
      <c r="FF37" s="1493"/>
      <c r="FG37" s="1493"/>
      <c r="FH37" s="1493"/>
      <c r="FI37" s="1493"/>
      <c r="FJ37" s="1493"/>
      <c r="FK37" s="1493"/>
      <c r="FL37" s="1493"/>
      <c r="FM37" s="1493"/>
      <c r="FN37" s="1493"/>
      <c r="FO37" s="1493"/>
      <c r="FP37" s="1493"/>
      <c r="FQ37" s="1493"/>
      <c r="FR37" s="1493"/>
      <c r="FS37" s="1493"/>
      <c r="FT37" s="1493"/>
      <c r="FU37" s="1493"/>
      <c r="FV37" s="1493"/>
      <c r="FW37" s="1493"/>
      <c r="FX37" s="1493"/>
      <c r="FY37" s="1493"/>
      <c r="FZ37" s="1493"/>
      <c r="GA37" s="1493"/>
      <c r="GB37" s="1493"/>
      <c r="GC37" s="1493"/>
      <c r="GD37" s="1493"/>
      <c r="GE37" s="1493"/>
      <c r="GF37" s="1493"/>
      <c r="GG37" s="1493"/>
      <c r="GH37" s="1493"/>
      <c r="GI37" s="1493"/>
      <c r="GJ37" s="1493"/>
      <c r="GK37" s="1493"/>
      <c r="GL37" s="1493"/>
      <c r="GM37" s="1493"/>
      <c r="GN37" s="1493"/>
      <c r="GO37" s="1493"/>
      <c r="GP37" s="1493"/>
      <c r="GQ37" s="1493"/>
      <c r="GR37" s="1493"/>
      <c r="GS37" s="1493"/>
      <c r="GT37" s="1493"/>
      <c r="GU37" s="1493"/>
      <c r="GV37" s="1493"/>
      <c r="GW37" s="1493"/>
      <c r="GX37" s="1493"/>
      <c r="GY37" s="1493"/>
      <c r="GZ37" s="1493"/>
      <c r="HA37" s="1493"/>
      <c r="HB37" s="1493"/>
      <c r="HC37" s="1493"/>
      <c r="HD37" s="1493"/>
      <c r="HE37" s="1493"/>
      <c r="HF37" s="1493"/>
      <c r="HG37" s="1493"/>
      <c r="HH37" s="1493"/>
      <c r="HI37" s="1493"/>
      <c r="HJ37" s="1493"/>
      <c r="HK37" s="1493"/>
      <c r="HL37" s="1493"/>
      <c r="HM37" s="1493"/>
      <c r="HN37" s="1493"/>
      <c r="HO37" s="1493"/>
      <c r="HP37" s="1493"/>
      <c r="HQ37" s="1493"/>
      <c r="HR37" s="1493"/>
      <c r="HS37" s="1493"/>
      <c r="HT37" s="1493"/>
      <c r="HU37" s="1493"/>
      <c r="HV37" s="1493"/>
      <c r="HW37" s="1493"/>
      <c r="HX37" s="1493"/>
      <c r="HY37" s="1493"/>
      <c r="HZ37" s="1493"/>
      <c r="IA37" s="1493"/>
      <c r="IB37" s="1493"/>
      <c r="IC37" s="1493"/>
      <c r="ID37" s="1493"/>
      <c r="IE37" s="1493"/>
      <c r="IF37" s="1493"/>
      <c r="IG37" s="1493"/>
      <c r="IH37" s="1493"/>
      <c r="II37" s="1493"/>
      <c r="IJ37" s="1493"/>
      <c r="IK37" s="1493"/>
      <c r="IL37" s="1493"/>
      <c r="IM37" s="1493"/>
      <c r="IN37" s="1493"/>
      <c r="IO37" s="1493"/>
      <c r="IP37" s="1493"/>
      <c r="IQ37" s="1493"/>
      <c r="IR37" s="1493"/>
      <c r="IS37" s="1493"/>
      <c r="IT37" s="1493"/>
      <c r="IU37" s="1493"/>
      <c r="IV37" s="1493"/>
    </row>
    <row r="38" spans="1:256">
      <c r="A38" s="1497">
        <f>+A37+1</f>
        <v>21</v>
      </c>
      <c r="B38" s="1498" t="s">
        <v>667</v>
      </c>
      <c r="C38" s="1498"/>
      <c r="D38" s="1498"/>
      <c r="E38" s="1498" t="s">
        <v>522</v>
      </c>
      <c r="F38" s="1495"/>
      <c r="G38" s="1493"/>
      <c r="H38" s="443">
        <v>0</v>
      </c>
      <c r="I38" s="1495"/>
      <c r="J38" s="1493"/>
      <c r="K38" s="1493"/>
      <c r="L38" s="1493"/>
      <c r="M38" s="1493"/>
      <c r="N38" s="1493"/>
      <c r="O38" s="1493"/>
      <c r="P38" s="1493"/>
      <c r="Q38" s="1493"/>
      <c r="R38" s="1493"/>
      <c r="S38" s="1493"/>
      <c r="T38" s="1493"/>
      <c r="U38" s="1493"/>
      <c r="V38" s="1493"/>
      <c r="W38" s="1493"/>
      <c r="X38" s="1493"/>
      <c r="Y38" s="1493"/>
      <c r="Z38" s="1493"/>
      <c r="AA38" s="1493"/>
      <c r="AB38" s="1493"/>
      <c r="AC38" s="1493"/>
      <c r="AD38" s="1493"/>
      <c r="AE38" s="1493"/>
      <c r="AF38" s="1493"/>
      <c r="AG38" s="1493"/>
      <c r="AH38" s="1493"/>
      <c r="AI38" s="1493"/>
      <c r="AJ38" s="1493"/>
      <c r="AK38" s="1493"/>
      <c r="AL38" s="1493"/>
      <c r="AM38" s="1493"/>
      <c r="AN38" s="1493"/>
      <c r="AO38" s="1493"/>
      <c r="AP38" s="1493"/>
      <c r="AQ38" s="1493"/>
      <c r="AR38" s="1493"/>
      <c r="AS38" s="1493"/>
      <c r="AT38" s="1493"/>
      <c r="AU38" s="1493"/>
      <c r="AV38" s="1493"/>
      <c r="AW38" s="1493"/>
      <c r="AX38" s="1493"/>
      <c r="AY38" s="1493"/>
      <c r="AZ38" s="1493"/>
      <c r="BA38" s="1493"/>
      <c r="BB38" s="1493"/>
      <c r="BC38" s="1493"/>
      <c r="BD38" s="1493"/>
      <c r="BE38" s="1493"/>
      <c r="BF38" s="1493"/>
      <c r="BG38" s="1493"/>
      <c r="BH38" s="1493"/>
      <c r="BI38" s="1493"/>
      <c r="BJ38" s="1493"/>
      <c r="BK38" s="1493"/>
      <c r="BL38" s="1493"/>
      <c r="BM38" s="1493"/>
      <c r="BN38" s="1493"/>
      <c r="BO38" s="1493"/>
      <c r="BP38" s="1493"/>
      <c r="BQ38" s="1493"/>
      <c r="BR38" s="1493"/>
      <c r="BS38" s="1493"/>
      <c r="BT38" s="1493"/>
      <c r="BU38" s="1493"/>
      <c r="BV38" s="1493"/>
      <c r="BW38" s="1493"/>
      <c r="BX38" s="1493"/>
      <c r="BY38" s="1493"/>
      <c r="BZ38" s="1493"/>
      <c r="CA38" s="1493"/>
      <c r="CB38" s="1493"/>
      <c r="CC38" s="1493"/>
      <c r="CD38" s="1493"/>
      <c r="CE38" s="1493"/>
      <c r="CF38" s="1493"/>
      <c r="CG38" s="1493"/>
      <c r="CH38" s="1493"/>
      <c r="CI38" s="1493"/>
      <c r="CJ38" s="1493"/>
      <c r="CK38" s="1493"/>
      <c r="CL38" s="1493"/>
      <c r="CM38" s="1493"/>
      <c r="CN38" s="1493"/>
      <c r="CO38" s="1493"/>
      <c r="CP38" s="1493"/>
      <c r="CQ38" s="1493"/>
      <c r="CR38" s="1493"/>
      <c r="CS38" s="1493"/>
      <c r="CT38" s="1493"/>
      <c r="CU38" s="1493"/>
      <c r="CV38" s="1493"/>
      <c r="CW38" s="1493"/>
      <c r="CX38" s="1493"/>
      <c r="CY38" s="1493"/>
      <c r="CZ38" s="1493"/>
      <c r="DA38" s="1493"/>
      <c r="DB38" s="1493"/>
      <c r="DC38" s="1493"/>
      <c r="DD38" s="1493"/>
      <c r="DE38" s="1493"/>
      <c r="DF38" s="1493"/>
      <c r="DG38" s="1493"/>
      <c r="DH38" s="1493"/>
      <c r="DI38" s="1493"/>
      <c r="DJ38" s="1493"/>
      <c r="DK38" s="1493"/>
      <c r="DL38" s="1493"/>
      <c r="DM38" s="1493"/>
      <c r="DN38" s="1493"/>
      <c r="DO38" s="1493"/>
      <c r="DP38" s="1493"/>
      <c r="DQ38" s="1493"/>
      <c r="DR38" s="1493"/>
      <c r="DS38" s="1493"/>
      <c r="DT38" s="1493"/>
      <c r="DU38" s="1493"/>
      <c r="DV38" s="1493"/>
      <c r="DW38" s="1493"/>
      <c r="DX38" s="1493"/>
      <c r="DY38" s="1493"/>
      <c r="DZ38" s="1493"/>
      <c r="EA38" s="1493"/>
      <c r="EB38" s="1493"/>
      <c r="EC38" s="1493"/>
      <c r="ED38" s="1493"/>
      <c r="EE38" s="1493"/>
      <c r="EF38" s="1493"/>
      <c r="EG38" s="1493"/>
      <c r="EH38" s="1493"/>
      <c r="EI38" s="1493"/>
      <c r="EJ38" s="1493"/>
      <c r="EK38" s="1493"/>
      <c r="EL38" s="1493"/>
      <c r="EM38" s="1493"/>
      <c r="EN38" s="1493"/>
      <c r="EO38" s="1493"/>
      <c r="EP38" s="1493"/>
      <c r="EQ38" s="1493"/>
      <c r="ER38" s="1493"/>
      <c r="ES38" s="1493"/>
      <c r="ET38" s="1493"/>
      <c r="EU38" s="1493"/>
      <c r="EV38" s="1493"/>
      <c r="EW38" s="1493"/>
      <c r="EX38" s="1493"/>
      <c r="EY38" s="1493"/>
      <c r="EZ38" s="1493"/>
      <c r="FA38" s="1493"/>
      <c r="FB38" s="1493"/>
      <c r="FC38" s="1493"/>
      <c r="FD38" s="1493"/>
      <c r="FE38" s="1493"/>
      <c r="FF38" s="1493"/>
      <c r="FG38" s="1493"/>
      <c r="FH38" s="1493"/>
      <c r="FI38" s="1493"/>
      <c r="FJ38" s="1493"/>
      <c r="FK38" s="1493"/>
      <c r="FL38" s="1493"/>
      <c r="FM38" s="1493"/>
      <c r="FN38" s="1493"/>
      <c r="FO38" s="1493"/>
      <c r="FP38" s="1493"/>
      <c r="FQ38" s="1493"/>
      <c r="FR38" s="1493"/>
      <c r="FS38" s="1493"/>
      <c r="FT38" s="1493"/>
      <c r="FU38" s="1493"/>
      <c r="FV38" s="1493"/>
      <c r="FW38" s="1493"/>
      <c r="FX38" s="1493"/>
      <c r="FY38" s="1493"/>
      <c r="FZ38" s="1493"/>
      <c r="GA38" s="1493"/>
      <c r="GB38" s="1493"/>
      <c r="GC38" s="1493"/>
      <c r="GD38" s="1493"/>
      <c r="GE38" s="1493"/>
      <c r="GF38" s="1493"/>
      <c r="GG38" s="1493"/>
      <c r="GH38" s="1493"/>
      <c r="GI38" s="1493"/>
      <c r="GJ38" s="1493"/>
      <c r="GK38" s="1493"/>
      <c r="GL38" s="1493"/>
      <c r="GM38" s="1493"/>
      <c r="GN38" s="1493"/>
      <c r="GO38" s="1493"/>
      <c r="GP38" s="1493"/>
      <c r="GQ38" s="1493"/>
      <c r="GR38" s="1493"/>
      <c r="GS38" s="1493"/>
      <c r="GT38" s="1493"/>
      <c r="GU38" s="1493"/>
      <c r="GV38" s="1493"/>
      <c r="GW38" s="1493"/>
      <c r="GX38" s="1493"/>
      <c r="GY38" s="1493"/>
      <c r="GZ38" s="1493"/>
      <c r="HA38" s="1493"/>
      <c r="HB38" s="1493"/>
      <c r="HC38" s="1493"/>
      <c r="HD38" s="1493"/>
      <c r="HE38" s="1493"/>
      <c r="HF38" s="1493"/>
      <c r="HG38" s="1493"/>
      <c r="HH38" s="1493"/>
      <c r="HI38" s="1493"/>
      <c r="HJ38" s="1493"/>
      <c r="HK38" s="1493"/>
      <c r="HL38" s="1493"/>
      <c r="HM38" s="1493"/>
      <c r="HN38" s="1493"/>
      <c r="HO38" s="1493"/>
      <c r="HP38" s="1493"/>
      <c r="HQ38" s="1493"/>
      <c r="HR38" s="1493"/>
      <c r="HS38" s="1493"/>
      <c r="HT38" s="1493"/>
      <c r="HU38" s="1493"/>
      <c r="HV38" s="1493"/>
      <c r="HW38" s="1493"/>
      <c r="HX38" s="1493"/>
      <c r="HY38" s="1493"/>
      <c r="HZ38" s="1493"/>
      <c r="IA38" s="1493"/>
      <c r="IB38" s="1493"/>
      <c r="IC38" s="1493"/>
      <c r="ID38" s="1493"/>
      <c r="IE38" s="1493"/>
      <c r="IF38" s="1493"/>
      <c r="IG38" s="1493"/>
      <c r="IH38" s="1493"/>
      <c r="II38" s="1493"/>
      <c r="IJ38" s="1493"/>
      <c r="IK38" s="1493"/>
      <c r="IL38" s="1493"/>
      <c r="IM38" s="1493"/>
      <c r="IN38" s="1493"/>
      <c r="IO38" s="1493"/>
      <c r="IP38" s="1493"/>
      <c r="IQ38" s="1493"/>
      <c r="IR38" s="1493"/>
      <c r="IS38" s="1493"/>
      <c r="IT38" s="1493"/>
      <c r="IU38" s="1493"/>
      <c r="IV38" s="1493"/>
    </row>
    <row r="39" spans="1:256">
      <c r="A39" s="1497">
        <f>+A38+1</f>
        <v>22</v>
      </c>
      <c r="B39" s="1498" t="s">
        <v>505</v>
      </c>
      <c r="C39" s="1498"/>
      <c r="D39" s="1498"/>
      <c r="E39" s="1498" t="str">
        <f>"Line "&amp;A37&amp;" less Line "&amp;A38</f>
        <v>Line 20 less Line 21</v>
      </c>
      <c r="F39" s="1495"/>
      <c r="G39" s="1493"/>
      <c r="H39" s="1499">
        <f>+H37-H38</f>
        <v>0</v>
      </c>
      <c r="I39" s="1495"/>
      <c r="J39" s="1493"/>
      <c r="K39" s="1493"/>
      <c r="L39" s="1493"/>
      <c r="M39" s="1493"/>
      <c r="N39" s="1493"/>
      <c r="O39" s="1493"/>
      <c r="P39" s="1493"/>
      <c r="Q39" s="1493"/>
      <c r="R39" s="1493"/>
      <c r="S39" s="1493"/>
      <c r="T39" s="1493"/>
      <c r="U39" s="1493"/>
      <c r="V39" s="1493"/>
      <c r="W39" s="1493"/>
      <c r="X39" s="1493"/>
      <c r="Y39" s="1493"/>
      <c r="Z39" s="1493"/>
      <c r="AA39" s="1493"/>
      <c r="AB39" s="1493"/>
      <c r="AC39" s="1493"/>
      <c r="AD39" s="1493"/>
      <c r="AE39" s="1493"/>
      <c r="AF39" s="1493"/>
      <c r="AG39" s="1493"/>
      <c r="AH39" s="1493"/>
      <c r="AI39" s="1493"/>
      <c r="AJ39" s="1493"/>
      <c r="AK39" s="1493"/>
      <c r="AL39" s="1493"/>
      <c r="AM39" s="1493"/>
      <c r="AN39" s="1493"/>
      <c r="AO39" s="1493"/>
      <c r="AP39" s="1493"/>
      <c r="AQ39" s="1493"/>
      <c r="AR39" s="1493"/>
      <c r="AS39" s="1493"/>
      <c r="AT39" s="1493"/>
      <c r="AU39" s="1493"/>
      <c r="AV39" s="1493"/>
      <c r="AW39" s="1493"/>
      <c r="AX39" s="1493"/>
      <c r="AY39" s="1493"/>
      <c r="AZ39" s="1493"/>
      <c r="BA39" s="1493"/>
      <c r="BB39" s="1493"/>
      <c r="BC39" s="1493"/>
      <c r="BD39" s="1493"/>
      <c r="BE39" s="1493"/>
      <c r="BF39" s="1493"/>
      <c r="BG39" s="1493"/>
      <c r="BH39" s="1493"/>
      <c r="BI39" s="1493"/>
      <c r="BJ39" s="1493"/>
      <c r="BK39" s="1493"/>
      <c r="BL39" s="1493"/>
      <c r="BM39" s="1493"/>
      <c r="BN39" s="1493"/>
      <c r="BO39" s="1493"/>
      <c r="BP39" s="1493"/>
      <c r="BQ39" s="1493"/>
      <c r="BR39" s="1493"/>
      <c r="BS39" s="1493"/>
      <c r="BT39" s="1493"/>
      <c r="BU39" s="1493"/>
      <c r="BV39" s="1493"/>
      <c r="BW39" s="1493"/>
      <c r="BX39" s="1493"/>
      <c r="BY39" s="1493"/>
      <c r="BZ39" s="1493"/>
      <c r="CA39" s="1493"/>
      <c r="CB39" s="1493"/>
      <c r="CC39" s="1493"/>
      <c r="CD39" s="1493"/>
      <c r="CE39" s="1493"/>
      <c r="CF39" s="1493"/>
      <c r="CG39" s="1493"/>
      <c r="CH39" s="1493"/>
      <c r="CI39" s="1493"/>
      <c r="CJ39" s="1493"/>
      <c r="CK39" s="1493"/>
      <c r="CL39" s="1493"/>
      <c r="CM39" s="1493"/>
      <c r="CN39" s="1493"/>
      <c r="CO39" s="1493"/>
      <c r="CP39" s="1493"/>
      <c r="CQ39" s="1493"/>
      <c r="CR39" s="1493"/>
      <c r="CS39" s="1493"/>
      <c r="CT39" s="1493"/>
      <c r="CU39" s="1493"/>
      <c r="CV39" s="1493"/>
      <c r="CW39" s="1493"/>
      <c r="CX39" s="1493"/>
      <c r="CY39" s="1493"/>
      <c r="CZ39" s="1493"/>
      <c r="DA39" s="1493"/>
      <c r="DB39" s="1493"/>
      <c r="DC39" s="1493"/>
      <c r="DD39" s="1493"/>
      <c r="DE39" s="1493"/>
      <c r="DF39" s="1493"/>
      <c r="DG39" s="1493"/>
      <c r="DH39" s="1493"/>
      <c r="DI39" s="1493"/>
      <c r="DJ39" s="1493"/>
      <c r="DK39" s="1493"/>
      <c r="DL39" s="1493"/>
      <c r="DM39" s="1493"/>
      <c r="DN39" s="1493"/>
      <c r="DO39" s="1493"/>
      <c r="DP39" s="1493"/>
      <c r="DQ39" s="1493"/>
      <c r="DR39" s="1493"/>
      <c r="DS39" s="1493"/>
      <c r="DT39" s="1493"/>
      <c r="DU39" s="1493"/>
      <c r="DV39" s="1493"/>
      <c r="DW39" s="1493"/>
      <c r="DX39" s="1493"/>
      <c r="DY39" s="1493"/>
      <c r="DZ39" s="1493"/>
      <c r="EA39" s="1493"/>
      <c r="EB39" s="1493"/>
      <c r="EC39" s="1493"/>
      <c r="ED39" s="1493"/>
      <c r="EE39" s="1493"/>
      <c r="EF39" s="1493"/>
      <c r="EG39" s="1493"/>
      <c r="EH39" s="1493"/>
      <c r="EI39" s="1493"/>
      <c r="EJ39" s="1493"/>
      <c r="EK39" s="1493"/>
      <c r="EL39" s="1493"/>
      <c r="EM39" s="1493"/>
      <c r="EN39" s="1493"/>
      <c r="EO39" s="1493"/>
      <c r="EP39" s="1493"/>
      <c r="EQ39" s="1493"/>
      <c r="ER39" s="1493"/>
      <c r="ES39" s="1493"/>
      <c r="ET39" s="1493"/>
      <c r="EU39" s="1493"/>
      <c r="EV39" s="1493"/>
      <c r="EW39" s="1493"/>
      <c r="EX39" s="1493"/>
      <c r="EY39" s="1493"/>
      <c r="EZ39" s="1493"/>
      <c r="FA39" s="1493"/>
      <c r="FB39" s="1493"/>
      <c r="FC39" s="1493"/>
      <c r="FD39" s="1493"/>
      <c r="FE39" s="1493"/>
      <c r="FF39" s="1493"/>
      <c r="FG39" s="1493"/>
      <c r="FH39" s="1493"/>
      <c r="FI39" s="1493"/>
      <c r="FJ39" s="1493"/>
      <c r="FK39" s="1493"/>
      <c r="FL39" s="1493"/>
      <c r="FM39" s="1493"/>
      <c r="FN39" s="1493"/>
      <c r="FO39" s="1493"/>
      <c r="FP39" s="1493"/>
      <c r="FQ39" s="1493"/>
      <c r="FR39" s="1493"/>
      <c r="FS39" s="1493"/>
      <c r="FT39" s="1493"/>
      <c r="FU39" s="1493"/>
      <c r="FV39" s="1493"/>
      <c r="FW39" s="1493"/>
      <c r="FX39" s="1493"/>
      <c r="FY39" s="1493"/>
      <c r="FZ39" s="1493"/>
      <c r="GA39" s="1493"/>
      <c r="GB39" s="1493"/>
      <c r="GC39" s="1493"/>
      <c r="GD39" s="1493"/>
      <c r="GE39" s="1493"/>
      <c r="GF39" s="1493"/>
      <c r="GG39" s="1493"/>
      <c r="GH39" s="1493"/>
      <c r="GI39" s="1493"/>
      <c r="GJ39" s="1493"/>
      <c r="GK39" s="1493"/>
      <c r="GL39" s="1493"/>
      <c r="GM39" s="1493"/>
      <c r="GN39" s="1493"/>
      <c r="GO39" s="1493"/>
      <c r="GP39" s="1493"/>
      <c r="GQ39" s="1493"/>
      <c r="GR39" s="1493"/>
      <c r="GS39" s="1493"/>
      <c r="GT39" s="1493"/>
      <c r="GU39" s="1493"/>
      <c r="GV39" s="1493"/>
      <c r="GW39" s="1493"/>
      <c r="GX39" s="1493"/>
      <c r="GY39" s="1493"/>
      <c r="GZ39" s="1493"/>
      <c r="HA39" s="1493"/>
      <c r="HB39" s="1493"/>
      <c r="HC39" s="1493"/>
      <c r="HD39" s="1493"/>
      <c r="HE39" s="1493"/>
      <c r="HF39" s="1493"/>
      <c r="HG39" s="1493"/>
      <c r="HH39" s="1493"/>
      <c r="HI39" s="1493"/>
      <c r="HJ39" s="1493"/>
      <c r="HK39" s="1493"/>
      <c r="HL39" s="1493"/>
      <c r="HM39" s="1493"/>
      <c r="HN39" s="1493"/>
      <c r="HO39" s="1493"/>
      <c r="HP39" s="1493"/>
      <c r="HQ39" s="1493"/>
      <c r="HR39" s="1493"/>
      <c r="HS39" s="1493"/>
      <c r="HT39" s="1493"/>
      <c r="HU39" s="1493"/>
      <c r="HV39" s="1493"/>
      <c r="HW39" s="1493"/>
      <c r="HX39" s="1493"/>
      <c r="HY39" s="1493"/>
      <c r="HZ39" s="1493"/>
      <c r="IA39" s="1493"/>
      <c r="IB39" s="1493"/>
      <c r="IC39" s="1493"/>
      <c r="ID39" s="1493"/>
      <c r="IE39" s="1493"/>
      <c r="IF39" s="1493"/>
      <c r="IG39" s="1493"/>
      <c r="IH39" s="1493"/>
      <c r="II39" s="1493"/>
      <c r="IJ39" s="1493"/>
      <c r="IK39" s="1493"/>
      <c r="IL39" s="1493"/>
      <c r="IM39" s="1493"/>
      <c r="IN39" s="1493"/>
      <c r="IO39" s="1493"/>
      <c r="IP39" s="1493"/>
      <c r="IQ39" s="1493"/>
      <c r="IR39" s="1493"/>
      <c r="IS39" s="1493"/>
      <c r="IT39" s="1493"/>
      <c r="IU39" s="1493"/>
      <c r="IV39" s="1493"/>
    </row>
    <row r="40" spans="1:256">
      <c r="A40" s="1497">
        <f>+A39+1</f>
        <v>23</v>
      </c>
      <c r="B40" s="1498" t="s">
        <v>506</v>
      </c>
      <c r="C40" s="1498"/>
      <c r="D40" s="1498"/>
      <c r="E40" s="1498" t="str">
        <f>"Line "&amp;A39&amp;" / 12"</f>
        <v>Line 22 / 12</v>
      </c>
      <c r="F40" s="1495"/>
      <c r="G40" s="1493"/>
      <c r="H40" s="1500">
        <f>+H39/12</f>
        <v>0</v>
      </c>
      <c r="I40" s="1495"/>
      <c r="J40" s="1493"/>
      <c r="K40" s="1493"/>
      <c r="L40" s="1493"/>
      <c r="M40" s="1493"/>
      <c r="N40" s="1493"/>
      <c r="O40" s="1493"/>
      <c r="P40" s="1493"/>
      <c r="Q40" s="1493"/>
      <c r="R40" s="1493"/>
      <c r="S40" s="1493"/>
      <c r="T40" s="1493"/>
      <c r="U40" s="1493"/>
      <c r="V40" s="1493"/>
      <c r="W40" s="1493"/>
      <c r="X40" s="1493"/>
      <c r="Y40" s="1493"/>
      <c r="Z40" s="1493"/>
      <c r="AA40" s="1493"/>
      <c r="AB40" s="1493"/>
      <c r="AC40" s="1493"/>
      <c r="AD40" s="1493"/>
      <c r="AE40" s="1493"/>
      <c r="AF40" s="1493"/>
      <c r="AG40" s="1493"/>
      <c r="AH40" s="1493"/>
      <c r="AI40" s="1493"/>
      <c r="AJ40" s="1493"/>
      <c r="AK40" s="149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93"/>
      <c r="BN40" s="1493"/>
      <c r="BO40" s="1493"/>
      <c r="BP40" s="1493"/>
      <c r="BQ40" s="1493"/>
      <c r="BR40" s="1493"/>
      <c r="BS40" s="1493"/>
      <c r="BT40" s="1493"/>
      <c r="BU40" s="1493"/>
      <c r="BV40" s="1493"/>
      <c r="BW40" s="1493"/>
      <c r="BX40" s="1493"/>
      <c r="BY40" s="1493"/>
      <c r="BZ40" s="1493"/>
      <c r="CA40" s="1493"/>
      <c r="CB40" s="1493"/>
      <c r="CC40" s="1493"/>
      <c r="CD40" s="1493"/>
      <c r="CE40" s="1493"/>
      <c r="CF40" s="1493"/>
      <c r="CG40" s="1493"/>
      <c r="CH40" s="1493"/>
      <c r="CI40" s="1493"/>
      <c r="CJ40" s="1493"/>
      <c r="CK40" s="1493"/>
      <c r="CL40" s="1493"/>
      <c r="CM40" s="1493"/>
      <c r="CN40" s="1493"/>
      <c r="CO40" s="1493"/>
      <c r="CP40" s="1493"/>
      <c r="CQ40" s="1493"/>
      <c r="CR40" s="1493"/>
      <c r="CS40" s="1493"/>
      <c r="CT40" s="1493"/>
      <c r="CU40" s="1493"/>
      <c r="CV40" s="1493"/>
      <c r="CW40" s="1493"/>
      <c r="CX40" s="1493"/>
      <c r="CY40" s="1493"/>
      <c r="CZ40" s="1493"/>
      <c r="DA40" s="1493"/>
      <c r="DB40" s="1493"/>
      <c r="DC40" s="1493"/>
      <c r="DD40" s="1493"/>
      <c r="DE40" s="1493"/>
      <c r="DF40" s="1493"/>
      <c r="DG40" s="1493"/>
      <c r="DH40" s="1493"/>
      <c r="DI40" s="1493"/>
      <c r="DJ40" s="1493"/>
      <c r="DK40" s="1493"/>
      <c r="DL40" s="1493"/>
      <c r="DM40" s="1493"/>
      <c r="DN40" s="1493"/>
      <c r="DO40" s="1493"/>
      <c r="DP40" s="1493"/>
      <c r="DQ40" s="1493"/>
      <c r="DR40" s="1493"/>
      <c r="DS40" s="1493"/>
      <c r="DT40" s="1493"/>
      <c r="DU40" s="1493"/>
      <c r="DV40" s="1493"/>
      <c r="DW40" s="1493"/>
      <c r="DX40" s="1493"/>
      <c r="DY40" s="1493"/>
      <c r="DZ40" s="1493"/>
      <c r="EA40" s="1493"/>
      <c r="EB40" s="1493"/>
      <c r="EC40" s="1493"/>
      <c r="ED40" s="1493"/>
      <c r="EE40" s="1493"/>
      <c r="EF40" s="1493"/>
      <c r="EG40" s="1493"/>
      <c r="EH40" s="1493"/>
      <c r="EI40" s="1493"/>
      <c r="EJ40" s="1493"/>
      <c r="EK40" s="1493"/>
      <c r="EL40" s="1493"/>
      <c r="EM40" s="1493"/>
      <c r="EN40" s="1493"/>
      <c r="EO40" s="1493"/>
      <c r="EP40" s="1493"/>
      <c r="EQ40" s="1493"/>
      <c r="ER40" s="1493"/>
      <c r="ES40" s="1493"/>
      <c r="ET40" s="1493"/>
      <c r="EU40" s="1493"/>
      <c r="EV40" s="1493"/>
      <c r="EW40" s="1493"/>
      <c r="EX40" s="1493"/>
      <c r="EY40" s="1493"/>
      <c r="EZ40" s="1493"/>
      <c r="FA40" s="1493"/>
      <c r="FB40" s="1493"/>
      <c r="FC40" s="1493"/>
      <c r="FD40" s="1493"/>
      <c r="FE40" s="1493"/>
      <c r="FF40" s="1493"/>
      <c r="FG40" s="1493"/>
      <c r="FH40" s="1493"/>
      <c r="FI40" s="1493"/>
      <c r="FJ40" s="1493"/>
      <c r="FK40" s="1493"/>
      <c r="FL40" s="1493"/>
      <c r="FM40" s="1493"/>
      <c r="FN40" s="1493"/>
      <c r="FO40" s="1493"/>
      <c r="FP40" s="1493"/>
      <c r="FQ40" s="1493"/>
      <c r="FR40" s="1493"/>
      <c r="FS40" s="1493"/>
      <c r="FT40" s="1493"/>
      <c r="FU40" s="1493"/>
      <c r="FV40" s="1493"/>
      <c r="FW40" s="1493"/>
      <c r="FX40" s="1493"/>
      <c r="FY40" s="1493"/>
      <c r="FZ40" s="1493"/>
      <c r="GA40" s="1493"/>
      <c r="GB40" s="1493"/>
      <c r="GC40" s="1493"/>
      <c r="GD40" s="1493"/>
      <c r="GE40" s="1493"/>
      <c r="GF40" s="1493"/>
      <c r="GG40" s="1493"/>
      <c r="GH40" s="1493"/>
      <c r="GI40" s="1493"/>
      <c r="GJ40" s="1493"/>
      <c r="GK40" s="1493"/>
      <c r="GL40" s="1493"/>
      <c r="GM40" s="1493"/>
      <c r="GN40" s="1493"/>
      <c r="GO40" s="1493"/>
      <c r="GP40" s="1493"/>
      <c r="GQ40" s="1493"/>
      <c r="GR40" s="1493"/>
      <c r="GS40" s="1493"/>
      <c r="GT40" s="1493"/>
      <c r="GU40" s="1493"/>
      <c r="GV40" s="1493"/>
      <c r="GW40" s="1493"/>
      <c r="GX40" s="1493"/>
      <c r="GY40" s="1493"/>
      <c r="GZ40" s="1493"/>
      <c r="HA40" s="1493"/>
      <c r="HB40" s="1493"/>
      <c r="HC40" s="1493"/>
      <c r="HD40" s="1493"/>
      <c r="HE40" s="1493"/>
      <c r="HF40" s="1493"/>
      <c r="HG40" s="1493"/>
      <c r="HH40" s="1493"/>
      <c r="HI40" s="1493"/>
      <c r="HJ40" s="1493"/>
      <c r="HK40" s="1493"/>
      <c r="HL40" s="1493"/>
      <c r="HM40" s="1493"/>
      <c r="HN40" s="1493"/>
      <c r="HO40" s="1493"/>
      <c r="HP40" s="1493"/>
      <c r="HQ40" s="1493"/>
      <c r="HR40" s="1493"/>
      <c r="HS40" s="1493"/>
      <c r="HT40" s="1493"/>
      <c r="HU40" s="1493"/>
      <c r="HV40" s="1493"/>
      <c r="HW40" s="1493"/>
      <c r="HX40" s="1493"/>
      <c r="HY40" s="1493"/>
      <c r="HZ40" s="1493"/>
      <c r="IA40" s="1493"/>
      <c r="IB40" s="1493"/>
      <c r="IC40" s="1493"/>
      <c r="ID40" s="1493"/>
      <c r="IE40" s="1493"/>
      <c r="IF40" s="1493"/>
      <c r="IG40" s="1493"/>
      <c r="IH40" s="1493"/>
      <c r="II40" s="1493"/>
      <c r="IJ40" s="1493"/>
      <c r="IK40" s="1493"/>
      <c r="IL40" s="1493"/>
      <c r="IM40" s="1493"/>
      <c r="IN40" s="1493"/>
      <c r="IO40" s="1493"/>
      <c r="IP40" s="1493"/>
      <c r="IQ40" s="1493"/>
      <c r="IR40" s="1493"/>
      <c r="IS40" s="1493"/>
      <c r="IT40" s="1493"/>
      <c r="IU40" s="1493"/>
      <c r="IV40" s="1493"/>
    </row>
    <row r="41" spans="1:256">
      <c r="A41" s="1498"/>
      <c r="B41" s="1498"/>
      <c r="C41" s="1498"/>
      <c r="D41" s="1498"/>
      <c r="E41" s="1495"/>
      <c r="F41" s="1495"/>
      <c r="G41" s="1495"/>
      <c r="H41" s="1495"/>
      <c r="I41" s="1495"/>
      <c r="J41" s="1493"/>
      <c r="K41" s="1493"/>
      <c r="L41" s="1493"/>
      <c r="M41" s="1493"/>
      <c r="N41" s="1493"/>
      <c r="O41" s="1493"/>
      <c r="P41" s="1493"/>
      <c r="Q41" s="1493"/>
      <c r="R41" s="1493"/>
      <c r="S41" s="1493"/>
      <c r="T41" s="1493"/>
      <c r="U41" s="1493"/>
      <c r="V41" s="1493"/>
      <c r="W41" s="1493"/>
      <c r="X41" s="1493"/>
      <c r="Y41" s="1493"/>
      <c r="Z41" s="1493"/>
      <c r="AA41" s="1493"/>
      <c r="AB41" s="1493"/>
      <c r="AC41" s="1493"/>
      <c r="AD41" s="1493"/>
      <c r="AE41" s="1493"/>
      <c r="AF41" s="1493"/>
      <c r="AG41" s="1493"/>
      <c r="AH41" s="1493"/>
      <c r="AI41" s="1493"/>
      <c r="AJ41" s="1493"/>
      <c r="AK41" s="1493"/>
      <c r="AL41" s="1493"/>
      <c r="AM41" s="1493"/>
      <c r="AN41" s="1493"/>
      <c r="AO41" s="1493"/>
      <c r="AP41" s="1493"/>
      <c r="AQ41" s="1493"/>
      <c r="AR41" s="1493"/>
      <c r="AS41" s="1493"/>
      <c r="AT41" s="1493"/>
      <c r="AU41" s="1493"/>
      <c r="AV41" s="1493"/>
      <c r="AW41" s="1493"/>
      <c r="AX41" s="1493"/>
      <c r="AY41" s="1493"/>
      <c r="AZ41" s="1493"/>
      <c r="BA41" s="1493"/>
      <c r="BB41" s="1493"/>
      <c r="BC41" s="1493"/>
      <c r="BD41" s="1493"/>
      <c r="BE41" s="1493"/>
      <c r="BF41" s="1493"/>
      <c r="BG41" s="1493"/>
      <c r="BH41" s="1493"/>
      <c r="BI41" s="1493"/>
      <c r="BJ41" s="1493"/>
      <c r="BK41" s="1493"/>
      <c r="BL41" s="1493"/>
      <c r="BM41" s="1493"/>
      <c r="BN41" s="1493"/>
      <c r="BO41" s="1493"/>
      <c r="BP41" s="1493"/>
      <c r="BQ41" s="1493"/>
      <c r="BR41" s="1493"/>
      <c r="BS41" s="1493"/>
      <c r="BT41" s="1493"/>
      <c r="BU41" s="1493"/>
      <c r="BV41" s="1493"/>
      <c r="BW41" s="1493"/>
      <c r="BX41" s="1493"/>
      <c r="BY41" s="1493"/>
      <c r="BZ41" s="1493"/>
      <c r="CA41" s="1493"/>
      <c r="CB41" s="1493"/>
      <c r="CC41" s="1493"/>
      <c r="CD41" s="1493"/>
      <c r="CE41" s="1493"/>
      <c r="CF41" s="1493"/>
      <c r="CG41" s="1493"/>
      <c r="CH41" s="1493"/>
      <c r="CI41" s="1493"/>
      <c r="CJ41" s="1493"/>
      <c r="CK41" s="1493"/>
      <c r="CL41" s="1493"/>
      <c r="CM41" s="1493"/>
      <c r="CN41" s="1493"/>
      <c r="CO41" s="1493"/>
      <c r="CP41" s="1493"/>
      <c r="CQ41" s="1493"/>
      <c r="CR41" s="1493"/>
      <c r="CS41" s="1493"/>
      <c r="CT41" s="1493"/>
      <c r="CU41" s="1493"/>
      <c r="CV41" s="1493"/>
      <c r="CW41" s="1493"/>
      <c r="CX41" s="1493"/>
      <c r="CY41" s="1493"/>
      <c r="CZ41" s="1493"/>
      <c r="DA41" s="1493"/>
      <c r="DB41" s="1493"/>
      <c r="DC41" s="1493"/>
      <c r="DD41" s="1493"/>
      <c r="DE41" s="1493"/>
      <c r="DF41" s="1493"/>
      <c r="DG41" s="1493"/>
      <c r="DH41" s="1493"/>
      <c r="DI41" s="1493"/>
      <c r="DJ41" s="1493"/>
      <c r="DK41" s="1493"/>
      <c r="DL41" s="1493"/>
      <c r="DM41" s="1493"/>
      <c r="DN41" s="1493"/>
      <c r="DO41" s="1493"/>
      <c r="DP41" s="1493"/>
      <c r="DQ41" s="1493"/>
      <c r="DR41" s="1493"/>
      <c r="DS41" s="1493"/>
      <c r="DT41" s="1493"/>
      <c r="DU41" s="1493"/>
      <c r="DV41" s="1493"/>
      <c r="DW41" s="1493"/>
      <c r="DX41" s="1493"/>
      <c r="DY41" s="1493"/>
      <c r="DZ41" s="1493"/>
      <c r="EA41" s="1493"/>
      <c r="EB41" s="1493"/>
      <c r="EC41" s="1493"/>
      <c r="ED41" s="1493"/>
      <c r="EE41" s="1493"/>
      <c r="EF41" s="1493"/>
      <c r="EG41" s="1493"/>
      <c r="EH41" s="1493"/>
      <c r="EI41" s="1493"/>
      <c r="EJ41" s="1493"/>
      <c r="EK41" s="1493"/>
      <c r="EL41" s="1493"/>
      <c r="EM41" s="1493"/>
      <c r="EN41" s="1493"/>
      <c r="EO41" s="1493"/>
      <c r="EP41" s="1493"/>
      <c r="EQ41" s="1493"/>
      <c r="ER41" s="1493"/>
      <c r="ES41" s="1493"/>
      <c r="ET41" s="1493"/>
      <c r="EU41" s="1493"/>
      <c r="EV41" s="1493"/>
      <c r="EW41" s="1493"/>
      <c r="EX41" s="1493"/>
      <c r="EY41" s="1493"/>
      <c r="EZ41" s="1493"/>
      <c r="FA41" s="1493"/>
      <c r="FB41" s="1493"/>
      <c r="FC41" s="1493"/>
      <c r="FD41" s="1493"/>
      <c r="FE41" s="1493"/>
      <c r="FF41" s="1493"/>
      <c r="FG41" s="1493"/>
      <c r="FH41" s="1493"/>
      <c r="FI41" s="1493"/>
      <c r="FJ41" s="1493"/>
      <c r="FK41" s="1493"/>
      <c r="FL41" s="1493"/>
      <c r="FM41" s="1493"/>
      <c r="FN41" s="1493"/>
      <c r="FO41" s="1493"/>
      <c r="FP41" s="1493"/>
      <c r="FQ41" s="1493"/>
      <c r="FR41" s="1493"/>
      <c r="FS41" s="1493"/>
      <c r="FT41" s="1493"/>
      <c r="FU41" s="1493"/>
      <c r="FV41" s="1493"/>
      <c r="FW41" s="1493"/>
      <c r="FX41" s="1493"/>
      <c r="FY41" s="1493"/>
      <c r="FZ41" s="1493"/>
      <c r="GA41" s="1493"/>
      <c r="GB41" s="1493"/>
      <c r="GC41" s="1493"/>
      <c r="GD41" s="1493"/>
      <c r="GE41" s="1493"/>
      <c r="GF41" s="1493"/>
      <c r="GG41" s="1493"/>
      <c r="GH41" s="1493"/>
      <c r="GI41" s="1493"/>
      <c r="GJ41" s="1493"/>
      <c r="GK41" s="1493"/>
      <c r="GL41" s="1493"/>
      <c r="GM41" s="1493"/>
      <c r="GN41" s="1493"/>
      <c r="GO41" s="1493"/>
      <c r="GP41" s="1493"/>
      <c r="GQ41" s="1493"/>
      <c r="GR41" s="1493"/>
      <c r="GS41" s="1493"/>
      <c r="GT41" s="1493"/>
      <c r="GU41" s="1493"/>
      <c r="GV41" s="1493"/>
      <c r="GW41" s="1493"/>
      <c r="GX41" s="1493"/>
      <c r="GY41" s="1493"/>
      <c r="GZ41" s="1493"/>
      <c r="HA41" s="1493"/>
      <c r="HB41" s="1493"/>
      <c r="HC41" s="1493"/>
      <c r="HD41" s="1493"/>
      <c r="HE41" s="1493"/>
      <c r="HF41" s="1493"/>
      <c r="HG41" s="1493"/>
      <c r="HH41" s="1493"/>
      <c r="HI41" s="1493"/>
      <c r="HJ41" s="1493"/>
      <c r="HK41" s="1493"/>
      <c r="HL41" s="1493"/>
      <c r="HM41" s="1493"/>
      <c r="HN41" s="1493"/>
      <c r="HO41" s="1493"/>
      <c r="HP41" s="1493"/>
      <c r="HQ41" s="1493"/>
      <c r="HR41" s="1493"/>
      <c r="HS41" s="1493"/>
      <c r="HT41" s="1493"/>
      <c r="HU41" s="1493"/>
      <c r="HV41" s="1493"/>
      <c r="HW41" s="1493"/>
      <c r="HX41" s="1493"/>
      <c r="HY41" s="1493"/>
      <c r="HZ41" s="1493"/>
      <c r="IA41" s="1493"/>
      <c r="IB41" s="1493"/>
      <c r="IC41" s="1493"/>
      <c r="ID41" s="1493"/>
      <c r="IE41" s="1493"/>
      <c r="IF41" s="1493"/>
      <c r="IG41" s="1493"/>
      <c r="IH41" s="1493"/>
      <c r="II41" s="1493"/>
      <c r="IJ41" s="1493"/>
      <c r="IK41" s="1493"/>
      <c r="IL41" s="1493"/>
      <c r="IM41" s="1493"/>
      <c r="IN41" s="1493"/>
      <c r="IO41" s="1493"/>
      <c r="IP41" s="1493"/>
      <c r="IQ41" s="1493"/>
      <c r="IR41" s="1493"/>
      <c r="IS41" s="1493"/>
      <c r="IT41" s="1493"/>
      <c r="IU41" s="1493"/>
      <c r="IV41" s="1493"/>
    </row>
    <row r="42" spans="1:256" ht="15.75">
      <c r="A42" s="1493"/>
      <c r="B42" s="1501" t="s">
        <v>298</v>
      </c>
      <c r="C42" s="1501" t="s">
        <v>299</v>
      </c>
      <c r="D42" s="1501" t="s">
        <v>47</v>
      </c>
      <c r="E42" s="1501" t="s">
        <v>301</v>
      </c>
      <c r="F42" s="1501" t="s">
        <v>226</v>
      </c>
      <c r="G42" s="1501" t="s">
        <v>227</v>
      </c>
      <c r="H42" s="1501" t="s">
        <v>228</v>
      </c>
      <c r="I42" s="1501" t="s">
        <v>233</v>
      </c>
      <c r="J42" s="1493"/>
      <c r="K42" s="1493"/>
      <c r="L42" s="1493"/>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1493"/>
      <c r="AJ42" s="1493"/>
      <c r="AK42" s="1493"/>
      <c r="AL42" s="1493"/>
      <c r="AM42" s="1493"/>
      <c r="AN42" s="1493"/>
      <c r="AO42" s="1493"/>
      <c r="AP42" s="1493"/>
      <c r="AQ42" s="1493"/>
      <c r="AR42" s="1493"/>
      <c r="AS42" s="1493"/>
      <c r="AT42" s="1493"/>
      <c r="AU42" s="1493"/>
      <c r="AV42" s="1493"/>
      <c r="AW42" s="1493"/>
      <c r="AX42" s="1493"/>
      <c r="AY42" s="1493"/>
      <c r="AZ42" s="1493"/>
      <c r="BA42" s="1493"/>
      <c r="BB42" s="1493"/>
      <c r="BC42" s="1493"/>
      <c r="BD42" s="1493"/>
      <c r="BE42" s="1493"/>
      <c r="BF42" s="1493"/>
      <c r="BG42" s="1493"/>
      <c r="BH42" s="1493"/>
      <c r="BI42" s="1493"/>
      <c r="BJ42" s="1493"/>
      <c r="BK42" s="1493"/>
      <c r="BL42" s="1493"/>
      <c r="BM42" s="1493"/>
      <c r="BN42" s="1493"/>
      <c r="BO42" s="1493"/>
      <c r="BP42" s="1493"/>
      <c r="BQ42" s="1493"/>
      <c r="BR42" s="1493"/>
      <c r="BS42" s="1493"/>
      <c r="BT42" s="1493"/>
      <c r="BU42" s="1493"/>
      <c r="BV42" s="1493"/>
      <c r="BW42" s="1493"/>
      <c r="BX42" s="1493"/>
      <c r="BY42" s="1493"/>
      <c r="BZ42" s="1493"/>
      <c r="CA42" s="1493"/>
      <c r="CB42" s="1493"/>
      <c r="CC42" s="1493"/>
      <c r="CD42" s="1493"/>
      <c r="CE42" s="1493"/>
      <c r="CF42" s="1493"/>
      <c r="CG42" s="1493"/>
      <c r="CH42" s="1493"/>
      <c r="CI42" s="1493"/>
      <c r="CJ42" s="1493"/>
      <c r="CK42" s="1493"/>
      <c r="CL42" s="1493"/>
      <c r="CM42" s="1493"/>
      <c r="CN42" s="1493"/>
      <c r="CO42" s="1493"/>
      <c r="CP42" s="1493"/>
      <c r="CQ42" s="1493"/>
      <c r="CR42" s="1493"/>
      <c r="CS42" s="1493"/>
      <c r="CT42" s="1493"/>
      <c r="CU42" s="1493"/>
      <c r="CV42" s="1493"/>
      <c r="CW42" s="1493"/>
      <c r="CX42" s="1493"/>
      <c r="CY42" s="1493"/>
      <c r="CZ42" s="1493"/>
      <c r="DA42" s="1493"/>
      <c r="DB42" s="1493"/>
      <c r="DC42" s="1493"/>
      <c r="DD42" s="1493"/>
      <c r="DE42" s="1493"/>
      <c r="DF42" s="1493"/>
      <c r="DG42" s="1493"/>
      <c r="DH42" s="1493"/>
      <c r="DI42" s="1493"/>
      <c r="DJ42" s="1493"/>
      <c r="DK42" s="1493"/>
      <c r="DL42" s="1493"/>
      <c r="DM42" s="1493"/>
      <c r="DN42" s="1493"/>
      <c r="DO42" s="1493"/>
      <c r="DP42" s="1493"/>
      <c r="DQ42" s="1493"/>
      <c r="DR42" s="1493"/>
      <c r="DS42" s="1493"/>
      <c r="DT42" s="1493"/>
      <c r="DU42" s="1493"/>
      <c r="DV42" s="1493"/>
      <c r="DW42" s="1493"/>
      <c r="DX42" s="1493"/>
      <c r="DY42" s="1493"/>
      <c r="DZ42" s="1493"/>
      <c r="EA42" s="1493"/>
      <c r="EB42" s="1493"/>
      <c r="EC42" s="1493"/>
      <c r="ED42" s="1493"/>
      <c r="EE42" s="1493"/>
      <c r="EF42" s="1493"/>
      <c r="EG42" s="1493"/>
      <c r="EH42" s="1493"/>
      <c r="EI42" s="1493"/>
      <c r="EJ42" s="1493"/>
      <c r="EK42" s="1493"/>
      <c r="EL42" s="1493"/>
      <c r="EM42" s="1493"/>
      <c r="EN42" s="1493"/>
      <c r="EO42" s="1493"/>
      <c r="EP42" s="1493"/>
      <c r="EQ42" s="1493"/>
      <c r="ER42" s="1493"/>
      <c r="ES42" s="1493"/>
      <c r="ET42" s="1493"/>
      <c r="EU42" s="1493"/>
      <c r="EV42" s="1493"/>
      <c r="EW42" s="1493"/>
      <c r="EX42" s="1493"/>
      <c r="EY42" s="1493"/>
      <c r="EZ42" s="1493"/>
      <c r="FA42" s="1493"/>
      <c r="FB42" s="1493"/>
      <c r="FC42" s="1493"/>
      <c r="FD42" s="1493"/>
      <c r="FE42" s="1493"/>
      <c r="FF42" s="1493"/>
      <c r="FG42" s="1493"/>
      <c r="FH42" s="1493"/>
      <c r="FI42" s="1493"/>
      <c r="FJ42" s="1493"/>
      <c r="FK42" s="1493"/>
      <c r="FL42" s="1493"/>
      <c r="FM42" s="1493"/>
      <c r="FN42" s="1493"/>
      <c r="FO42" s="1493"/>
      <c r="FP42" s="1493"/>
      <c r="FQ42" s="1493"/>
      <c r="FR42" s="1493"/>
      <c r="FS42" s="1493"/>
      <c r="FT42" s="1493"/>
      <c r="FU42" s="1493"/>
      <c r="FV42" s="1493"/>
      <c r="FW42" s="1493"/>
      <c r="FX42" s="1493"/>
      <c r="FY42" s="1493"/>
      <c r="FZ42" s="1493"/>
      <c r="GA42" s="1493"/>
      <c r="GB42" s="1493"/>
      <c r="GC42" s="1493"/>
      <c r="GD42" s="1493"/>
      <c r="GE42" s="1493"/>
      <c r="GF42" s="1493"/>
      <c r="GG42" s="1493"/>
      <c r="GH42" s="1493"/>
      <c r="GI42" s="1493"/>
      <c r="GJ42" s="1493"/>
      <c r="GK42" s="1493"/>
      <c r="GL42" s="1493"/>
      <c r="GM42" s="1493"/>
      <c r="GN42" s="1493"/>
      <c r="GO42" s="1493"/>
      <c r="GP42" s="1493"/>
      <c r="GQ42" s="1493"/>
      <c r="GR42" s="1493"/>
      <c r="GS42" s="1493"/>
      <c r="GT42" s="1493"/>
      <c r="GU42" s="1493"/>
      <c r="GV42" s="1493"/>
      <c r="GW42" s="1493"/>
      <c r="GX42" s="1493"/>
      <c r="GY42" s="1493"/>
      <c r="GZ42" s="1493"/>
      <c r="HA42" s="1493"/>
      <c r="HB42" s="1493"/>
      <c r="HC42" s="1493"/>
      <c r="HD42" s="1493"/>
      <c r="HE42" s="1493"/>
      <c r="HF42" s="1493"/>
      <c r="HG42" s="1493"/>
      <c r="HH42" s="1493"/>
      <c r="HI42" s="1493"/>
      <c r="HJ42" s="1493"/>
      <c r="HK42" s="1493"/>
      <c r="HL42" s="1493"/>
      <c r="HM42" s="1493"/>
      <c r="HN42" s="1493"/>
      <c r="HO42" s="1493"/>
      <c r="HP42" s="1493"/>
      <c r="HQ42" s="1493"/>
      <c r="HR42" s="1493"/>
      <c r="HS42" s="1493"/>
      <c r="HT42" s="1493"/>
      <c r="HU42" s="1493"/>
      <c r="HV42" s="1493"/>
      <c r="HW42" s="1493"/>
      <c r="HX42" s="1493"/>
      <c r="HY42" s="1493"/>
      <c r="HZ42" s="1493"/>
      <c r="IA42" s="1493"/>
      <c r="IB42" s="1493"/>
      <c r="IC42" s="1493"/>
      <c r="ID42" s="1493"/>
      <c r="IE42" s="1493"/>
      <c r="IF42" s="1493"/>
      <c r="IG42" s="1493"/>
      <c r="IH42" s="1493"/>
      <c r="II42" s="1493"/>
      <c r="IJ42" s="1493"/>
      <c r="IK42" s="1493"/>
      <c r="IL42" s="1493"/>
      <c r="IM42" s="1493"/>
      <c r="IN42" s="1493"/>
      <c r="IO42" s="1493"/>
      <c r="IP42" s="1493"/>
      <c r="IQ42" s="1493"/>
      <c r="IR42" s="1493"/>
      <c r="IS42" s="1493"/>
      <c r="IT42" s="1493"/>
      <c r="IU42" s="1493"/>
      <c r="IV42" s="1493"/>
    </row>
    <row r="43" spans="1:256" ht="39">
      <c r="A43" s="1502" t="s">
        <v>305</v>
      </c>
      <c r="B43" s="1503" t="s">
        <v>507</v>
      </c>
      <c r="C43" s="1503" t="s">
        <v>508</v>
      </c>
      <c r="D43" s="1503" t="s">
        <v>516</v>
      </c>
      <c r="E43" s="1503" t="s">
        <v>517</v>
      </c>
      <c r="F43" s="1503" t="s">
        <v>518</v>
      </c>
      <c r="G43" s="1503" t="s">
        <v>519</v>
      </c>
      <c r="H43" s="1503" t="s">
        <v>509</v>
      </c>
      <c r="I43" s="1503" t="s">
        <v>520</v>
      </c>
      <c r="J43" s="1493"/>
      <c r="K43" s="1504"/>
      <c r="L43" s="150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4"/>
      <c r="AI43" s="1504"/>
      <c r="AJ43" s="1504"/>
      <c r="AK43" s="1504"/>
      <c r="AL43" s="1504"/>
      <c r="AM43" s="1504"/>
      <c r="AN43" s="1504"/>
      <c r="AO43" s="1504"/>
      <c r="AP43" s="1504"/>
      <c r="AQ43" s="1504"/>
      <c r="AR43" s="1504"/>
      <c r="AS43" s="1504"/>
      <c r="AT43" s="1504"/>
      <c r="AU43" s="1504"/>
      <c r="AV43" s="1504"/>
      <c r="AW43" s="1504"/>
      <c r="AX43" s="1504"/>
      <c r="AY43" s="1504"/>
      <c r="AZ43" s="1504"/>
      <c r="BA43" s="1504"/>
      <c r="BB43" s="1504"/>
      <c r="BC43" s="1504"/>
      <c r="BD43" s="1504"/>
      <c r="BE43" s="1504"/>
      <c r="BF43" s="1504"/>
      <c r="BG43" s="1504"/>
      <c r="BH43" s="1504"/>
      <c r="BI43" s="1504"/>
      <c r="BJ43" s="1504"/>
      <c r="BK43" s="1504"/>
      <c r="BL43" s="1504"/>
      <c r="BM43" s="1504"/>
      <c r="BN43" s="1504"/>
      <c r="BO43" s="1504"/>
      <c r="BP43" s="1504"/>
      <c r="BQ43" s="1504"/>
      <c r="BR43" s="1504"/>
      <c r="BS43" s="1504"/>
      <c r="BT43" s="1504"/>
      <c r="BU43" s="1504"/>
      <c r="BV43" s="1504"/>
      <c r="BW43" s="1504"/>
      <c r="BX43" s="1504"/>
      <c r="BY43" s="1504"/>
      <c r="BZ43" s="1504"/>
      <c r="CA43" s="1504"/>
      <c r="CB43" s="1504"/>
      <c r="CC43" s="1504"/>
      <c r="CD43" s="1504"/>
      <c r="CE43" s="1504"/>
      <c r="CF43" s="1504"/>
      <c r="CG43" s="1504"/>
      <c r="CH43" s="1504"/>
      <c r="CI43" s="1504"/>
      <c r="CJ43" s="1504"/>
      <c r="CK43" s="1504"/>
      <c r="CL43" s="1504"/>
      <c r="CM43" s="1504"/>
      <c r="CN43" s="1504"/>
      <c r="CO43" s="1504"/>
      <c r="CP43" s="1504"/>
      <c r="CQ43" s="1504"/>
      <c r="CR43" s="1504"/>
      <c r="CS43" s="1504"/>
      <c r="CT43" s="1504"/>
      <c r="CU43" s="1504"/>
      <c r="CV43" s="1504"/>
      <c r="CW43" s="1504"/>
      <c r="CX43" s="1504"/>
      <c r="CY43" s="1504"/>
      <c r="CZ43" s="1504"/>
      <c r="DA43" s="1504"/>
      <c r="DB43" s="1504"/>
      <c r="DC43" s="1504"/>
      <c r="DD43" s="1504"/>
      <c r="DE43" s="1504"/>
      <c r="DF43" s="1504"/>
      <c r="DG43" s="1504"/>
      <c r="DH43" s="1504"/>
      <c r="DI43" s="1504"/>
      <c r="DJ43" s="1504"/>
      <c r="DK43" s="1504"/>
      <c r="DL43" s="1504"/>
      <c r="DM43" s="1504"/>
      <c r="DN43" s="1504"/>
      <c r="DO43" s="1504"/>
      <c r="DP43" s="1504"/>
      <c r="DQ43" s="1504"/>
      <c r="DR43" s="1504"/>
      <c r="DS43" s="1504"/>
      <c r="DT43" s="1504"/>
      <c r="DU43" s="1504"/>
      <c r="DV43" s="1504"/>
      <c r="DW43" s="1504"/>
      <c r="DX43" s="1504"/>
      <c r="DY43" s="1504"/>
      <c r="DZ43" s="1504"/>
      <c r="EA43" s="1504"/>
      <c r="EB43" s="1504"/>
      <c r="EC43" s="1504"/>
      <c r="ED43" s="1504"/>
      <c r="EE43" s="1504"/>
      <c r="EF43" s="1504"/>
      <c r="EG43" s="1504"/>
      <c r="EH43" s="1504"/>
      <c r="EI43" s="1504"/>
      <c r="EJ43" s="1504"/>
      <c r="EK43" s="1504"/>
      <c r="EL43" s="1504"/>
      <c r="EM43" s="1504"/>
      <c r="EN43" s="1504"/>
      <c r="EO43" s="1504"/>
      <c r="EP43" s="1504"/>
      <c r="EQ43" s="1504"/>
      <c r="ER43" s="1504"/>
      <c r="ES43" s="1504"/>
      <c r="ET43" s="1504"/>
      <c r="EU43" s="1504"/>
      <c r="EV43" s="1504"/>
      <c r="EW43" s="1504"/>
      <c r="EX43" s="1504"/>
      <c r="EY43" s="1504"/>
      <c r="EZ43" s="1504"/>
      <c r="FA43" s="1504"/>
      <c r="FB43" s="1504"/>
      <c r="FC43" s="1504"/>
      <c r="FD43" s="1504"/>
      <c r="FE43" s="1504"/>
      <c r="FF43" s="1504"/>
      <c r="FG43" s="1504"/>
      <c r="FH43" s="1504"/>
      <c r="FI43" s="1504"/>
      <c r="FJ43" s="1504"/>
      <c r="FK43" s="1504"/>
      <c r="FL43" s="1504"/>
      <c r="FM43" s="1504"/>
      <c r="FN43" s="1504"/>
      <c r="FO43" s="1504"/>
      <c r="FP43" s="1504"/>
      <c r="FQ43" s="1504"/>
      <c r="FR43" s="1504"/>
      <c r="FS43" s="1504"/>
      <c r="FT43" s="1504"/>
      <c r="FU43" s="1504"/>
      <c r="FV43" s="1504"/>
      <c r="FW43" s="1504"/>
      <c r="FX43" s="1504"/>
      <c r="FY43" s="1504"/>
      <c r="FZ43" s="1504"/>
      <c r="GA43" s="1504"/>
      <c r="GB43" s="1504"/>
      <c r="GC43" s="1504"/>
      <c r="GD43" s="1504"/>
      <c r="GE43" s="1504"/>
      <c r="GF43" s="1504"/>
      <c r="GG43" s="1504"/>
      <c r="GH43" s="1504"/>
      <c r="GI43" s="1504"/>
      <c r="GJ43" s="1504"/>
      <c r="GK43" s="1504"/>
      <c r="GL43" s="1504"/>
      <c r="GM43" s="1504"/>
      <c r="GN43" s="1504"/>
      <c r="GO43" s="1504"/>
      <c r="GP43" s="1504"/>
      <c r="GQ43" s="1504"/>
      <c r="GR43" s="1504"/>
      <c r="GS43" s="1504"/>
      <c r="GT43" s="1504"/>
      <c r="GU43" s="1504"/>
      <c r="GV43" s="1504"/>
      <c r="GW43" s="1504"/>
      <c r="GX43" s="1504"/>
      <c r="GY43" s="1504"/>
      <c r="GZ43" s="1504"/>
      <c r="HA43" s="1504"/>
      <c r="HB43" s="1504"/>
      <c r="HC43" s="1504"/>
      <c r="HD43" s="1504"/>
      <c r="HE43" s="1504"/>
      <c r="HF43" s="1504"/>
      <c r="HG43" s="1504"/>
      <c r="HH43" s="1504"/>
      <c r="HI43" s="1504"/>
      <c r="HJ43" s="1504"/>
      <c r="HK43" s="1504"/>
      <c r="HL43" s="1504"/>
      <c r="HM43" s="1504"/>
      <c r="HN43" s="1504"/>
      <c r="HO43" s="1504"/>
      <c r="HP43" s="1504"/>
      <c r="HQ43" s="1504"/>
      <c r="HR43" s="1504"/>
      <c r="HS43" s="1504"/>
      <c r="HT43" s="1504"/>
      <c r="HU43" s="1504"/>
      <c r="HV43" s="1504"/>
      <c r="HW43" s="1504"/>
      <c r="HX43" s="1504"/>
      <c r="HY43" s="1504"/>
      <c r="HZ43" s="1504"/>
      <c r="IA43" s="1504"/>
      <c r="IB43" s="1504"/>
      <c r="IC43" s="1504"/>
      <c r="ID43" s="1504"/>
      <c r="IE43" s="1504"/>
      <c r="IF43" s="1504"/>
      <c r="IG43" s="1504"/>
      <c r="IH43" s="1504"/>
      <c r="II43" s="1504"/>
      <c r="IJ43" s="1504"/>
      <c r="IK43" s="1504"/>
      <c r="IL43" s="1504"/>
      <c r="IM43" s="1504"/>
      <c r="IN43" s="1504"/>
      <c r="IO43" s="1504"/>
      <c r="IP43" s="1504"/>
      <c r="IQ43" s="1504"/>
      <c r="IR43" s="1504"/>
      <c r="IS43" s="1504"/>
      <c r="IT43" s="1504"/>
      <c r="IU43" s="1504"/>
      <c r="IV43" s="1504"/>
    </row>
    <row r="44" spans="1:256">
      <c r="A44" s="1497">
        <f>+A40+1</f>
        <v>24</v>
      </c>
      <c r="B44" s="1494" t="s">
        <v>510</v>
      </c>
      <c r="C44" s="609">
        <f>+H38</f>
        <v>0</v>
      </c>
      <c r="D44" s="609">
        <f>C44</f>
        <v>0</v>
      </c>
      <c r="E44" s="1494"/>
      <c r="F44" s="443">
        <v>365</v>
      </c>
      <c r="G44" s="1505">
        <f>F44/$F$18</f>
        <v>1</v>
      </c>
      <c r="H44" s="609">
        <f>C44*G44</f>
        <v>0</v>
      </c>
      <c r="I44" s="609">
        <f>H44</f>
        <v>0</v>
      </c>
      <c r="J44" s="1493"/>
      <c r="K44" s="1493"/>
      <c r="L44" s="1493"/>
      <c r="M44" s="1493"/>
      <c r="N44" s="1493"/>
      <c r="O44" s="1493"/>
      <c r="P44" s="1493"/>
      <c r="Q44" s="1493"/>
      <c r="R44" s="1493"/>
      <c r="S44" s="1493"/>
      <c r="T44" s="1493"/>
      <c r="U44" s="1493"/>
      <c r="V44" s="1493"/>
      <c r="W44" s="1493"/>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493"/>
      <c r="AS44" s="1493"/>
      <c r="AT44" s="1493"/>
      <c r="AU44" s="1493"/>
      <c r="AV44" s="1493"/>
      <c r="AW44" s="1493"/>
      <c r="AX44" s="1493"/>
      <c r="AY44" s="1493"/>
      <c r="AZ44" s="1493"/>
      <c r="BA44" s="1493"/>
      <c r="BB44" s="1493"/>
      <c r="BC44" s="1493"/>
      <c r="BD44" s="1493"/>
      <c r="BE44" s="1493"/>
      <c r="BF44" s="1493"/>
      <c r="BG44" s="1493"/>
      <c r="BH44" s="1493"/>
      <c r="BI44" s="1493"/>
      <c r="BJ44" s="1493"/>
      <c r="BK44" s="1493"/>
      <c r="BL44" s="1493"/>
      <c r="BM44" s="1493"/>
      <c r="BN44" s="1493"/>
      <c r="BO44" s="1493"/>
      <c r="BP44" s="1493"/>
      <c r="BQ44" s="1493"/>
      <c r="BR44" s="1493"/>
      <c r="BS44" s="1493"/>
      <c r="BT44" s="1493"/>
      <c r="BU44" s="1493"/>
      <c r="BV44" s="1493"/>
      <c r="BW44" s="1493"/>
      <c r="BX44" s="1493"/>
      <c r="BY44" s="1493"/>
      <c r="BZ44" s="1493"/>
      <c r="CA44" s="1493"/>
      <c r="CB44" s="1493"/>
      <c r="CC44" s="1493"/>
      <c r="CD44" s="1493"/>
      <c r="CE44" s="1493"/>
      <c r="CF44" s="1493"/>
      <c r="CG44" s="1493"/>
      <c r="CH44" s="1493"/>
      <c r="CI44" s="1493"/>
      <c r="CJ44" s="1493"/>
      <c r="CK44" s="1493"/>
      <c r="CL44" s="1493"/>
      <c r="CM44" s="1493"/>
      <c r="CN44" s="1493"/>
      <c r="CO44" s="1493"/>
      <c r="CP44" s="1493"/>
      <c r="CQ44" s="1493"/>
      <c r="CR44" s="1493"/>
      <c r="CS44" s="1493"/>
      <c r="CT44" s="1493"/>
      <c r="CU44" s="1493"/>
      <c r="CV44" s="1493"/>
      <c r="CW44" s="1493"/>
      <c r="CX44" s="1493"/>
      <c r="CY44" s="1493"/>
      <c r="CZ44" s="1493"/>
      <c r="DA44" s="1493"/>
      <c r="DB44" s="1493"/>
      <c r="DC44" s="1493"/>
      <c r="DD44" s="1493"/>
      <c r="DE44" s="1493"/>
      <c r="DF44" s="1493"/>
      <c r="DG44" s="1493"/>
      <c r="DH44" s="1493"/>
      <c r="DI44" s="1493"/>
      <c r="DJ44" s="1493"/>
      <c r="DK44" s="1493"/>
      <c r="DL44" s="1493"/>
      <c r="DM44" s="1493"/>
      <c r="DN44" s="1493"/>
      <c r="DO44" s="1493"/>
      <c r="DP44" s="1493"/>
      <c r="DQ44" s="1493"/>
      <c r="DR44" s="1493"/>
      <c r="DS44" s="1493"/>
      <c r="DT44" s="1493"/>
      <c r="DU44" s="1493"/>
      <c r="DV44" s="1493"/>
      <c r="DW44" s="1493"/>
      <c r="DX44" s="1493"/>
      <c r="DY44" s="1493"/>
      <c r="DZ44" s="1493"/>
      <c r="EA44" s="1493"/>
      <c r="EB44" s="1493"/>
      <c r="EC44" s="1493"/>
      <c r="ED44" s="1493"/>
      <c r="EE44" s="1493"/>
      <c r="EF44" s="1493"/>
      <c r="EG44" s="1493"/>
      <c r="EH44" s="1493"/>
      <c r="EI44" s="1493"/>
      <c r="EJ44" s="1493"/>
      <c r="EK44" s="1493"/>
      <c r="EL44" s="1493"/>
      <c r="EM44" s="1493"/>
      <c r="EN44" s="1493"/>
      <c r="EO44" s="1493"/>
      <c r="EP44" s="1493"/>
      <c r="EQ44" s="1493"/>
      <c r="ER44" s="1493"/>
      <c r="ES44" s="1493"/>
      <c r="ET44" s="1493"/>
      <c r="EU44" s="1493"/>
      <c r="EV44" s="1493"/>
      <c r="EW44" s="1493"/>
      <c r="EX44" s="1493"/>
      <c r="EY44" s="1493"/>
      <c r="EZ44" s="1493"/>
      <c r="FA44" s="1493"/>
      <c r="FB44" s="1493"/>
      <c r="FC44" s="1493"/>
      <c r="FD44" s="1493"/>
      <c r="FE44" s="1493"/>
      <c r="FF44" s="1493"/>
      <c r="FG44" s="1493"/>
      <c r="FH44" s="1493"/>
      <c r="FI44" s="1493"/>
      <c r="FJ44" s="1493"/>
      <c r="FK44" s="1493"/>
      <c r="FL44" s="1493"/>
      <c r="FM44" s="1493"/>
      <c r="FN44" s="1493"/>
      <c r="FO44" s="1493"/>
      <c r="FP44" s="1493"/>
      <c r="FQ44" s="1493"/>
      <c r="FR44" s="1493"/>
      <c r="FS44" s="1493"/>
      <c r="FT44" s="1493"/>
      <c r="FU44" s="1493"/>
      <c r="FV44" s="1493"/>
      <c r="FW44" s="1493"/>
      <c r="FX44" s="1493"/>
      <c r="FY44" s="1493"/>
      <c r="FZ44" s="1493"/>
      <c r="GA44" s="1493"/>
      <c r="GB44" s="1493"/>
      <c r="GC44" s="1493"/>
      <c r="GD44" s="1493"/>
      <c r="GE44" s="1493"/>
      <c r="GF44" s="1493"/>
      <c r="GG44" s="1493"/>
      <c r="GH44" s="1493"/>
      <c r="GI44" s="1493"/>
      <c r="GJ44" s="1493"/>
      <c r="GK44" s="1493"/>
      <c r="GL44" s="1493"/>
      <c r="GM44" s="1493"/>
      <c r="GN44" s="1493"/>
      <c r="GO44" s="1493"/>
      <c r="GP44" s="1493"/>
      <c r="GQ44" s="1493"/>
      <c r="GR44" s="1493"/>
      <c r="GS44" s="1493"/>
      <c r="GT44" s="1493"/>
      <c r="GU44" s="1493"/>
      <c r="GV44" s="1493"/>
      <c r="GW44" s="1493"/>
      <c r="GX44" s="1493"/>
      <c r="GY44" s="1493"/>
      <c r="GZ44" s="1493"/>
      <c r="HA44" s="1493"/>
      <c r="HB44" s="1493"/>
      <c r="HC44" s="1493"/>
      <c r="HD44" s="1493"/>
      <c r="HE44" s="1493"/>
      <c r="HF44" s="1493"/>
      <c r="HG44" s="1493"/>
      <c r="HH44" s="1493"/>
      <c r="HI44" s="1493"/>
      <c r="HJ44" s="1493"/>
      <c r="HK44" s="1493"/>
      <c r="HL44" s="1493"/>
      <c r="HM44" s="1493"/>
      <c r="HN44" s="1493"/>
      <c r="HO44" s="1493"/>
      <c r="HP44" s="1493"/>
      <c r="HQ44" s="1493"/>
      <c r="HR44" s="1493"/>
      <c r="HS44" s="1493"/>
      <c r="HT44" s="1493"/>
      <c r="HU44" s="1493"/>
      <c r="HV44" s="1493"/>
      <c r="HW44" s="1493"/>
      <c r="HX44" s="1493"/>
      <c r="HY44" s="1493"/>
      <c r="HZ44" s="1493"/>
      <c r="IA44" s="1493"/>
      <c r="IB44" s="1493"/>
      <c r="IC44" s="1493"/>
      <c r="ID44" s="1493"/>
      <c r="IE44" s="1493"/>
      <c r="IF44" s="1493"/>
      <c r="IG44" s="1493"/>
      <c r="IH44" s="1493"/>
      <c r="II44" s="1493"/>
      <c r="IJ44" s="1493"/>
      <c r="IK44" s="1493"/>
      <c r="IL44" s="1493"/>
      <c r="IM44" s="1493"/>
      <c r="IN44" s="1493"/>
      <c r="IO44" s="1493"/>
      <c r="IP44" s="1493"/>
      <c r="IQ44" s="1493"/>
      <c r="IR44" s="1493"/>
      <c r="IS44" s="1493"/>
      <c r="IT44" s="1493"/>
      <c r="IU44" s="1493"/>
      <c r="IV44" s="1493"/>
    </row>
    <row r="45" spans="1:256">
      <c r="A45" s="1497">
        <f>+A44+1</f>
        <v>25</v>
      </c>
      <c r="B45" s="1494" t="s">
        <v>511</v>
      </c>
      <c r="C45" s="609">
        <f>+$H$40</f>
        <v>0</v>
      </c>
      <c r="D45" s="609">
        <f>D44+C45</f>
        <v>0</v>
      </c>
      <c r="E45" s="1494">
        <v>31</v>
      </c>
      <c r="F45" s="443">
        <v>335</v>
      </c>
      <c r="G45" s="1505">
        <f t="shared" ref="G45:G56" si="6">F45/$F$18</f>
        <v>0.9178082191780822</v>
      </c>
      <c r="H45" s="609">
        <f t="shared" ref="H45:H56" si="7">C45*G45</f>
        <v>0</v>
      </c>
      <c r="I45" s="609">
        <f t="shared" ref="I45:I56" si="8">I44+H45</f>
        <v>0</v>
      </c>
      <c r="J45" s="1493"/>
      <c r="K45" s="1493"/>
      <c r="L45" s="1493"/>
      <c r="M45" s="1493"/>
      <c r="N45" s="1493"/>
      <c r="O45" s="1493"/>
      <c r="P45" s="1493"/>
      <c r="Q45" s="1493"/>
      <c r="R45" s="1493"/>
      <c r="S45" s="1493"/>
      <c r="T45" s="1493"/>
      <c r="U45" s="1493"/>
      <c r="V45" s="1493"/>
      <c r="W45" s="1493"/>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493"/>
      <c r="AS45" s="1493"/>
      <c r="AT45" s="1493"/>
      <c r="AU45" s="1493"/>
      <c r="AV45" s="1493"/>
      <c r="AW45" s="1493"/>
      <c r="AX45" s="1493"/>
      <c r="AY45" s="1493"/>
      <c r="AZ45" s="1493"/>
      <c r="BA45" s="1493"/>
      <c r="BB45" s="1493"/>
      <c r="BC45" s="1493"/>
      <c r="BD45" s="1493"/>
      <c r="BE45" s="1493"/>
      <c r="BF45" s="1493"/>
      <c r="BG45" s="1493"/>
      <c r="BH45" s="1493"/>
      <c r="BI45" s="1493"/>
      <c r="BJ45" s="1493"/>
      <c r="BK45" s="1493"/>
      <c r="BL45" s="1493"/>
      <c r="BM45" s="1493"/>
      <c r="BN45" s="1493"/>
      <c r="BO45" s="1493"/>
      <c r="BP45" s="1493"/>
      <c r="BQ45" s="1493"/>
      <c r="BR45" s="1493"/>
      <c r="BS45" s="1493"/>
      <c r="BT45" s="1493"/>
      <c r="BU45" s="1493"/>
      <c r="BV45" s="1493"/>
      <c r="BW45" s="1493"/>
      <c r="BX45" s="1493"/>
      <c r="BY45" s="1493"/>
      <c r="BZ45" s="1493"/>
      <c r="CA45" s="1493"/>
      <c r="CB45" s="1493"/>
      <c r="CC45" s="1493"/>
      <c r="CD45" s="1493"/>
      <c r="CE45" s="1493"/>
      <c r="CF45" s="1493"/>
      <c r="CG45" s="1493"/>
      <c r="CH45" s="1493"/>
      <c r="CI45" s="1493"/>
      <c r="CJ45" s="1493"/>
      <c r="CK45" s="1493"/>
      <c r="CL45" s="1493"/>
      <c r="CM45" s="1493"/>
      <c r="CN45" s="1493"/>
      <c r="CO45" s="1493"/>
      <c r="CP45" s="1493"/>
      <c r="CQ45" s="1493"/>
      <c r="CR45" s="1493"/>
      <c r="CS45" s="1493"/>
      <c r="CT45" s="1493"/>
      <c r="CU45" s="1493"/>
      <c r="CV45" s="1493"/>
      <c r="CW45" s="1493"/>
      <c r="CX45" s="1493"/>
      <c r="CY45" s="1493"/>
      <c r="CZ45" s="1493"/>
      <c r="DA45" s="1493"/>
      <c r="DB45" s="1493"/>
      <c r="DC45" s="1493"/>
      <c r="DD45" s="1493"/>
      <c r="DE45" s="1493"/>
      <c r="DF45" s="1493"/>
      <c r="DG45" s="1493"/>
      <c r="DH45" s="1493"/>
      <c r="DI45" s="1493"/>
      <c r="DJ45" s="1493"/>
      <c r="DK45" s="1493"/>
      <c r="DL45" s="1493"/>
      <c r="DM45" s="1493"/>
      <c r="DN45" s="1493"/>
      <c r="DO45" s="1493"/>
      <c r="DP45" s="1493"/>
      <c r="DQ45" s="1493"/>
      <c r="DR45" s="1493"/>
      <c r="DS45" s="1493"/>
      <c r="DT45" s="1493"/>
      <c r="DU45" s="1493"/>
      <c r="DV45" s="1493"/>
      <c r="DW45" s="1493"/>
      <c r="DX45" s="1493"/>
      <c r="DY45" s="1493"/>
      <c r="DZ45" s="1493"/>
      <c r="EA45" s="1493"/>
      <c r="EB45" s="1493"/>
      <c r="EC45" s="1493"/>
      <c r="ED45" s="1493"/>
      <c r="EE45" s="1493"/>
      <c r="EF45" s="1493"/>
      <c r="EG45" s="1493"/>
      <c r="EH45" s="1493"/>
      <c r="EI45" s="1493"/>
      <c r="EJ45" s="1493"/>
      <c r="EK45" s="1493"/>
      <c r="EL45" s="1493"/>
      <c r="EM45" s="1493"/>
      <c r="EN45" s="1493"/>
      <c r="EO45" s="1493"/>
      <c r="EP45" s="1493"/>
      <c r="EQ45" s="1493"/>
      <c r="ER45" s="1493"/>
      <c r="ES45" s="1493"/>
      <c r="ET45" s="1493"/>
      <c r="EU45" s="1493"/>
      <c r="EV45" s="1493"/>
      <c r="EW45" s="1493"/>
      <c r="EX45" s="1493"/>
      <c r="EY45" s="1493"/>
      <c r="EZ45" s="1493"/>
      <c r="FA45" s="1493"/>
      <c r="FB45" s="1493"/>
      <c r="FC45" s="1493"/>
      <c r="FD45" s="1493"/>
      <c r="FE45" s="1493"/>
      <c r="FF45" s="1493"/>
      <c r="FG45" s="1493"/>
      <c r="FH45" s="1493"/>
      <c r="FI45" s="1493"/>
      <c r="FJ45" s="1493"/>
      <c r="FK45" s="1493"/>
      <c r="FL45" s="1493"/>
      <c r="FM45" s="1493"/>
      <c r="FN45" s="1493"/>
      <c r="FO45" s="1493"/>
      <c r="FP45" s="1493"/>
      <c r="FQ45" s="1493"/>
      <c r="FR45" s="1493"/>
      <c r="FS45" s="1493"/>
      <c r="FT45" s="1493"/>
      <c r="FU45" s="1493"/>
      <c r="FV45" s="1493"/>
      <c r="FW45" s="1493"/>
      <c r="FX45" s="1493"/>
      <c r="FY45" s="1493"/>
      <c r="FZ45" s="1493"/>
      <c r="GA45" s="1493"/>
      <c r="GB45" s="1493"/>
      <c r="GC45" s="1493"/>
      <c r="GD45" s="1493"/>
      <c r="GE45" s="1493"/>
      <c r="GF45" s="1493"/>
      <c r="GG45" s="1493"/>
      <c r="GH45" s="1493"/>
      <c r="GI45" s="1493"/>
      <c r="GJ45" s="1493"/>
      <c r="GK45" s="1493"/>
      <c r="GL45" s="1493"/>
      <c r="GM45" s="1493"/>
      <c r="GN45" s="1493"/>
      <c r="GO45" s="1493"/>
      <c r="GP45" s="1493"/>
      <c r="GQ45" s="1493"/>
      <c r="GR45" s="1493"/>
      <c r="GS45" s="1493"/>
      <c r="GT45" s="1493"/>
      <c r="GU45" s="1493"/>
      <c r="GV45" s="1493"/>
      <c r="GW45" s="1493"/>
      <c r="GX45" s="1493"/>
      <c r="GY45" s="1493"/>
      <c r="GZ45" s="1493"/>
      <c r="HA45" s="1493"/>
      <c r="HB45" s="1493"/>
      <c r="HC45" s="1493"/>
      <c r="HD45" s="1493"/>
      <c r="HE45" s="1493"/>
      <c r="HF45" s="1493"/>
      <c r="HG45" s="1493"/>
      <c r="HH45" s="1493"/>
      <c r="HI45" s="1493"/>
      <c r="HJ45" s="1493"/>
      <c r="HK45" s="1493"/>
      <c r="HL45" s="1493"/>
      <c r="HM45" s="1493"/>
      <c r="HN45" s="1493"/>
      <c r="HO45" s="1493"/>
      <c r="HP45" s="1493"/>
      <c r="HQ45" s="1493"/>
      <c r="HR45" s="1493"/>
      <c r="HS45" s="1493"/>
      <c r="HT45" s="1493"/>
      <c r="HU45" s="1493"/>
      <c r="HV45" s="1493"/>
      <c r="HW45" s="1493"/>
      <c r="HX45" s="1493"/>
      <c r="HY45" s="1493"/>
      <c r="HZ45" s="1493"/>
      <c r="IA45" s="1493"/>
      <c r="IB45" s="1493"/>
      <c r="IC45" s="1493"/>
      <c r="ID45" s="1493"/>
      <c r="IE45" s="1493"/>
      <c r="IF45" s="1493"/>
      <c r="IG45" s="1493"/>
      <c r="IH45" s="1493"/>
      <c r="II45" s="1493"/>
      <c r="IJ45" s="1493"/>
      <c r="IK45" s="1493"/>
      <c r="IL45" s="1493"/>
      <c r="IM45" s="1493"/>
      <c r="IN45" s="1493"/>
      <c r="IO45" s="1493"/>
      <c r="IP45" s="1493"/>
      <c r="IQ45" s="1493"/>
      <c r="IR45" s="1493"/>
      <c r="IS45" s="1493"/>
      <c r="IT45" s="1493"/>
      <c r="IU45" s="1493"/>
      <c r="IV45" s="1493"/>
    </row>
    <row r="46" spans="1:256">
      <c r="A46" s="1497">
        <f t="shared" ref="A46:A56" si="9">+A45+1</f>
        <v>26</v>
      </c>
      <c r="B46" s="1494" t="s">
        <v>512</v>
      </c>
      <c r="C46" s="609">
        <f t="shared" ref="C46:C56" si="10">+$H$40</f>
        <v>0</v>
      </c>
      <c r="D46" s="609">
        <f>D45+C46</f>
        <v>0</v>
      </c>
      <c r="E46" s="443">
        <v>28</v>
      </c>
      <c r="F46" s="443">
        <v>307</v>
      </c>
      <c r="G46" s="1505">
        <f t="shared" si="6"/>
        <v>0.84109589041095889</v>
      </c>
      <c r="H46" s="609">
        <f t="shared" si="7"/>
        <v>0</v>
      </c>
      <c r="I46" s="609">
        <f t="shared" si="8"/>
        <v>0</v>
      </c>
      <c r="J46" s="1493"/>
      <c r="K46" s="1493"/>
      <c r="L46" s="1493"/>
      <c r="M46" s="1493"/>
      <c r="N46" s="1493"/>
      <c r="O46" s="1493"/>
      <c r="P46" s="1493"/>
      <c r="Q46" s="1493"/>
      <c r="R46" s="1493"/>
      <c r="S46" s="1493"/>
      <c r="T46" s="1493"/>
      <c r="U46" s="1493"/>
      <c r="V46" s="1493"/>
      <c r="W46" s="1493"/>
      <c r="X46" s="1493"/>
      <c r="Y46" s="1493"/>
      <c r="Z46" s="1493"/>
      <c r="AA46" s="1493"/>
      <c r="AB46" s="1493"/>
      <c r="AC46" s="1493"/>
      <c r="AD46" s="1493"/>
      <c r="AE46" s="1493"/>
      <c r="AF46" s="1493"/>
      <c r="AG46" s="1493"/>
      <c r="AH46" s="1493"/>
      <c r="AI46" s="1493"/>
      <c r="AJ46" s="1493"/>
      <c r="AK46" s="1493"/>
      <c r="AL46" s="1493"/>
      <c r="AM46" s="1493"/>
      <c r="AN46" s="1493"/>
      <c r="AO46" s="1493"/>
      <c r="AP46" s="1493"/>
      <c r="AQ46" s="1493"/>
      <c r="AR46" s="1493"/>
      <c r="AS46" s="1493"/>
      <c r="AT46" s="1493"/>
      <c r="AU46" s="1493"/>
      <c r="AV46" s="1493"/>
      <c r="AW46" s="1493"/>
      <c r="AX46" s="1493"/>
      <c r="AY46" s="1493"/>
      <c r="AZ46" s="1493"/>
      <c r="BA46" s="1493"/>
      <c r="BB46" s="1493"/>
      <c r="BC46" s="1493"/>
      <c r="BD46" s="1493"/>
      <c r="BE46" s="1493"/>
      <c r="BF46" s="1493"/>
      <c r="BG46" s="1493"/>
      <c r="BH46" s="1493"/>
      <c r="BI46" s="1493"/>
      <c r="BJ46" s="1493"/>
      <c r="BK46" s="1493"/>
      <c r="BL46" s="1493"/>
      <c r="BM46" s="1493"/>
      <c r="BN46" s="1493"/>
      <c r="BO46" s="1493"/>
      <c r="BP46" s="1493"/>
      <c r="BQ46" s="1493"/>
      <c r="BR46" s="1493"/>
      <c r="BS46" s="1493"/>
      <c r="BT46" s="1493"/>
      <c r="BU46" s="1493"/>
      <c r="BV46" s="1493"/>
      <c r="BW46" s="1493"/>
      <c r="BX46" s="1493"/>
      <c r="BY46" s="1493"/>
      <c r="BZ46" s="1493"/>
      <c r="CA46" s="1493"/>
      <c r="CB46" s="1493"/>
      <c r="CC46" s="1493"/>
      <c r="CD46" s="1493"/>
      <c r="CE46" s="1493"/>
      <c r="CF46" s="1493"/>
      <c r="CG46" s="1493"/>
      <c r="CH46" s="1493"/>
      <c r="CI46" s="1493"/>
      <c r="CJ46" s="1493"/>
      <c r="CK46" s="1493"/>
      <c r="CL46" s="1493"/>
      <c r="CM46" s="1493"/>
      <c r="CN46" s="1493"/>
      <c r="CO46" s="1493"/>
      <c r="CP46" s="1493"/>
      <c r="CQ46" s="1493"/>
      <c r="CR46" s="1493"/>
      <c r="CS46" s="1493"/>
      <c r="CT46" s="1493"/>
      <c r="CU46" s="1493"/>
      <c r="CV46" s="1493"/>
      <c r="CW46" s="1493"/>
      <c r="CX46" s="1493"/>
      <c r="CY46" s="1493"/>
      <c r="CZ46" s="1493"/>
      <c r="DA46" s="1493"/>
      <c r="DB46" s="1493"/>
      <c r="DC46" s="1493"/>
      <c r="DD46" s="1493"/>
      <c r="DE46" s="1493"/>
      <c r="DF46" s="1493"/>
      <c r="DG46" s="1493"/>
      <c r="DH46" s="1493"/>
      <c r="DI46" s="1493"/>
      <c r="DJ46" s="1493"/>
      <c r="DK46" s="1493"/>
      <c r="DL46" s="1493"/>
      <c r="DM46" s="1493"/>
      <c r="DN46" s="1493"/>
      <c r="DO46" s="1493"/>
      <c r="DP46" s="1493"/>
      <c r="DQ46" s="1493"/>
      <c r="DR46" s="1493"/>
      <c r="DS46" s="1493"/>
      <c r="DT46" s="1493"/>
      <c r="DU46" s="1493"/>
      <c r="DV46" s="1493"/>
      <c r="DW46" s="1493"/>
      <c r="DX46" s="1493"/>
      <c r="DY46" s="1493"/>
      <c r="DZ46" s="1493"/>
      <c r="EA46" s="1493"/>
      <c r="EB46" s="1493"/>
      <c r="EC46" s="1493"/>
      <c r="ED46" s="1493"/>
      <c r="EE46" s="1493"/>
      <c r="EF46" s="1493"/>
      <c r="EG46" s="1493"/>
      <c r="EH46" s="1493"/>
      <c r="EI46" s="1493"/>
      <c r="EJ46" s="1493"/>
      <c r="EK46" s="1493"/>
      <c r="EL46" s="1493"/>
      <c r="EM46" s="1493"/>
      <c r="EN46" s="1493"/>
      <c r="EO46" s="1493"/>
      <c r="EP46" s="1493"/>
      <c r="EQ46" s="1493"/>
      <c r="ER46" s="1493"/>
      <c r="ES46" s="1493"/>
      <c r="ET46" s="1493"/>
      <c r="EU46" s="1493"/>
      <c r="EV46" s="1493"/>
      <c r="EW46" s="1493"/>
      <c r="EX46" s="1493"/>
      <c r="EY46" s="1493"/>
      <c r="EZ46" s="1493"/>
      <c r="FA46" s="1493"/>
      <c r="FB46" s="1493"/>
      <c r="FC46" s="1493"/>
      <c r="FD46" s="1493"/>
      <c r="FE46" s="1493"/>
      <c r="FF46" s="1493"/>
      <c r="FG46" s="1493"/>
      <c r="FH46" s="1493"/>
      <c r="FI46" s="1493"/>
      <c r="FJ46" s="1493"/>
      <c r="FK46" s="1493"/>
      <c r="FL46" s="1493"/>
      <c r="FM46" s="1493"/>
      <c r="FN46" s="1493"/>
      <c r="FO46" s="1493"/>
      <c r="FP46" s="1493"/>
      <c r="FQ46" s="1493"/>
      <c r="FR46" s="1493"/>
      <c r="FS46" s="1493"/>
      <c r="FT46" s="1493"/>
      <c r="FU46" s="1493"/>
      <c r="FV46" s="1493"/>
      <c r="FW46" s="1493"/>
      <c r="FX46" s="1493"/>
      <c r="FY46" s="1493"/>
      <c r="FZ46" s="1493"/>
      <c r="GA46" s="1493"/>
      <c r="GB46" s="1493"/>
      <c r="GC46" s="1493"/>
      <c r="GD46" s="1493"/>
      <c r="GE46" s="1493"/>
      <c r="GF46" s="1493"/>
      <c r="GG46" s="1493"/>
      <c r="GH46" s="1493"/>
      <c r="GI46" s="1493"/>
      <c r="GJ46" s="1493"/>
      <c r="GK46" s="1493"/>
      <c r="GL46" s="1493"/>
      <c r="GM46" s="1493"/>
      <c r="GN46" s="1493"/>
      <c r="GO46" s="1493"/>
      <c r="GP46" s="1493"/>
      <c r="GQ46" s="1493"/>
      <c r="GR46" s="1493"/>
      <c r="GS46" s="1493"/>
      <c r="GT46" s="1493"/>
      <c r="GU46" s="1493"/>
      <c r="GV46" s="1493"/>
      <c r="GW46" s="1493"/>
      <c r="GX46" s="1493"/>
      <c r="GY46" s="1493"/>
      <c r="GZ46" s="1493"/>
      <c r="HA46" s="1493"/>
      <c r="HB46" s="1493"/>
      <c r="HC46" s="1493"/>
      <c r="HD46" s="1493"/>
      <c r="HE46" s="1493"/>
      <c r="HF46" s="1493"/>
      <c r="HG46" s="1493"/>
      <c r="HH46" s="1493"/>
      <c r="HI46" s="1493"/>
      <c r="HJ46" s="1493"/>
      <c r="HK46" s="1493"/>
      <c r="HL46" s="1493"/>
      <c r="HM46" s="1493"/>
      <c r="HN46" s="1493"/>
      <c r="HO46" s="1493"/>
      <c r="HP46" s="1493"/>
      <c r="HQ46" s="1493"/>
      <c r="HR46" s="1493"/>
      <c r="HS46" s="1493"/>
      <c r="HT46" s="1493"/>
      <c r="HU46" s="1493"/>
      <c r="HV46" s="1493"/>
      <c r="HW46" s="1493"/>
      <c r="HX46" s="1493"/>
      <c r="HY46" s="1493"/>
      <c r="HZ46" s="1493"/>
      <c r="IA46" s="1493"/>
      <c r="IB46" s="1493"/>
      <c r="IC46" s="1493"/>
      <c r="ID46" s="1493"/>
      <c r="IE46" s="1493"/>
      <c r="IF46" s="1493"/>
      <c r="IG46" s="1493"/>
      <c r="IH46" s="1493"/>
      <c r="II46" s="1493"/>
      <c r="IJ46" s="1493"/>
      <c r="IK46" s="1493"/>
      <c r="IL46" s="1493"/>
      <c r="IM46" s="1493"/>
      <c r="IN46" s="1493"/>
      <c r="IO46" s="1493"/>
      <c r="IP46" s="1493"/>
      <c r="IQ46" s="1493"/>
      <c r="IR46" s="1493"/>
      <c r="IS46" s="1493"/>
      <c r="IT46" s="1493"/>
      <c r="IU46" s="1493"/>
      <c r="IV46" s="1493"/>
    </row>
    <row r="47" spans="1:256">
      <c r="A47" s="1497">
        <f t="shared" si="9"/>
        <v>27</v>
      </c>
      <c r="B47" s="1494" t="s">
        <v>320</v>
      </c>
      <c r="C47" s="609">
        <f t="shared" si="10"/>
        <v>0</v>
      </c>
      <c r="D47" s="609">
        <f>D46+C47</f>
        <v>0</v>
      </c>
      <c r="E47" s="1494">
        <v>31</v>
      </c>
      <c r="F47" s="443">
        <v>276</v>
      </c>
      <c r="G47" s="1505">
        <f t="shared" si="6"/>
        <v>0.75616438356164384</v>
      </c>
      <c r="H47" s="609">
        <f t="shared" si="7"/>
        <v>0</v>
      </c>
      <c r="I47" s="609">
        <f t="shared" si="8"/>
        <v>0</v>
      </c>
      <c r="J47" s="1493"/>
      <c r="K47" s="1493"/>
      <c r="L47" s="1493"/>
      <c r="M47" s="1493"/>
      <c r="N47" s="1493"/>
      <c r="O47" s="1493"/>
      <c r="P47" s="1493"/>
      <c r="Q47" s="1493"/>
      <c r="R47" s="1493"/>
      <c r="S47" s="1493"/>
      <c r="T47" s="1493"/>
      <c r="U47" s="1493"/>
      <c r="V47" s="1493"/>
      <c r="W47" s="1493"/>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493"/>
      <c r="AS47" s="1493"/>
      <c r="AT47" s="1493"/>
      <c r="AU47" s="1493"/>
      <c r="AV47" s="1493"/>
      <c r="AW47" s="1493"/>
      <c r="AX47" s="1493"/>
      <c r="AY47" s="1493"/>
      <c r="AZ47" s="1493"/>
      <c r="BA47" s="1493"/>
      <c r="BB47" s="1493"/>
      <c r="BC47" s="1493"/>
      <c r="BD47" s="1493"/>
      <c r="BE47" s="1493"/>
      <c r="BF47" s="1493"/>
      <c r="BG47" s="1493"/>
      <c r="BH47" s="1493"/>
      <c r="BI47" s="1493"/>
      <c r="BJ47" s="1493"/>
      <c r="BK47" s="1493"/>
      <c r="BL47" s="1493"/>
      <c r="BM47" s="1493"/>
      <c r="BN47" s="1493"/>
      <c r="BO47" s="1493"/>
      <c r="BP47" s="1493"/>
      <c r="BQ47" s="1493"/>
      <c r="BR47" s="1493"/>
      <c r="BS47" s="1493"/>
      <c r="BT47" s="1493"/>
      <c r="BU47" s="1493"/>
      <c r="BV47" s="1493"/>
      <c r="BW47" s="1493"/>
      <c r="BX47" s="1493"/>
      <c r="BY47" s="1493"/>
      <c r="BZ47" s="1493"/>
      <c r="CA47" s="1493"/>
      <c r="CB47" s="1493"/>
      <c r="CC47" s="1493"/>
      <c r="CD47" s="1493"/>
      <c r="CE47" s="1493"/>
      <c r="CF47" s="1493"/>
      <c r="CG47" s="1493"/>
      <c r="CH47" s="1493"/>
      <c r="CI47" s="1493"/>
      <c r="CJ47" s="1493"/>
      <c r="CK47" s="1493"/>
      <c r="CL47" s="1493"/>
      <c r="CM47" s="1493"/>
      <c r="CN47" s="1493"/>
      <c r="CO47" s="1493"/>
      <c r="CP47" s="1493"/>
      <c r="CQ47" s="1493"/>
      <c r="CR47" s="1493"/>
      <c r="CS47" s="1493"/>
      <c r="CT47" s="1493"/>
      <c r="CU47" s="1493"/>
      <c r="CV47" s="1493"/>
      <c r="CW47" s="1493"/>
      <c r="CX47" s="1493"/>
      <c r="CY47" s="1493"/>
      <c r="CZ47" s="1493"/>
      <c r="DA47" s="1493"/>
      <c r="DB47" s="1493"/>
      <c r="DC47" s="1493"/>
      <c r="DD47" s="1493"/>
      <c r="DE47" s="1493"/>
      <c r="DF47" s="1493"/>
      <c r="DG47" s="1493"/>
      <c r="DH47" s="1493"/>
      <c r="DI47" s="1493"/>
      <c r="DJ47" s="1493"/>
      <c r="DK47" s="1493"/>
      <c r="DL47" s="1493"/>
      <c r="DM47" s="1493"/>
      <c r="DN47" s="1493"/>
      <c r="DO47" s="1493"/>
      <c r="DP47" s="1493"/>
      <c r="DQ47" s="1493"/>
      <c r="DR47" s="1493"/>
      <c r="DS47" s="1493"/>
      <c r="DT47" s="1493"/>
      <c r="DU47" s="1493"/>
      <c r="DV47" s="1493"/>
      <c r="DW47" s="1493"/>
      <c r="DX47" s="1493"/>
      <c r="DY47" s="1493"/>
      <c r="DZ47" s="1493"/>
      <c r="EA47" s="1493"/>
      <c r="EB47" s="1493"/>
      <c r="EC47" s="1493"/>
      <c r="ED47" s="1493"/>
      <c r="EE47" s="1493"/>
      <c r="EF47" s="1493"/>
      <c r="EG47" s="1493"/>
      <c r="EH47" s="1493"/>
      <c r="EI47" s="1493"/>
      <c r="EJ47" s="1493"/>
      <c r="EK47" s="1493"/>
      <c r="EL47" s="1493"/>
      <c r="EM47" s="1493"/>
      <c r="EN47" s="1493"/>
      <c r="EO47" s="1493"/>
      <c r="EP47" s="1493"/>
      <c r="EQ47" s="1493"/>
      <c r="ER47" s="1493"/>
      <c r="ES47" s="1493"/>
      <c r="ET47" s="1493"/>
      <c r="EU47" s="1493"/>
      <c r="EV47" s="1493"/>
      <c r="EW47" s="1493"/>
      <c r="EX47" s="1493"/>
      <c r="EY47" s="1493"/>
      <c r="EZ47" s="1493"/>
      <c r="FA47" s="1493"/>
      <c r="FB47" s="1493"/>
      <c r="FC47" s="1493"/>
      <c r="FD47" s="1493"/>
      <c r="FE47" s="1493"/>
      <c r="FF47" s="1493"/>
      <c r="FG47" s="1493"/>
      <c r="FH47" s="1493"/>
      <c r="FI47" s="1493"/>
      <c r="FJ47" s="1493"/>
      <c r="FK47" s="1493"/>
      <c r="FL47" s="1493"/>
      <c r="FM47" s="1493"/>
      <c r="FN47" s="1493"/>
      <c r="FO47" s="1493"/>
      <c r="FP47" s="1493"/>
      <c r="FQ47" s="1493"/>
      <c r="FR47" s="1493"/>
      <c r="FS47" s="1493"/>
      <c r="FT47" s="1493"/>
      <c r="FU47" s="1493"/>
      <c r="FV47" s="1493"/>
      <c r="FW47" s="1493"/>
      <c r="FX47" s="1493"/>
      <c r="FY47" s="1493"/>
      <c r="FZ47" s="1493"/>
      <c r="GA47" s="1493"/>
      <c r="GB47" s="1493"/>
      <c r="GC47" s="1493"/>
      <c r="GD47" s="1493"/>
      <c r="GE47" s="1493"/>
      <c r="GF47" s="1493"/>
      <c r="GG47" s="1493"/>
      <c r="GH47" s="1493"/>
      <c r="GI47" s="1493"/>
      <c r="GJ47" s="1493"/>
      <c r="GK47" s="1493"/>
      <c r="GL47" s="1493"/>
      <c r="GM47" s="1493"/>
      <c r="GN47" s="1493"/>
      <c r="GO47" s="1493"/>
      <c r="GP47" s="1493"/>
      <c r="GQ47" s="1493"/>
      <c r="GR47" s="1493"/>
      <c r="GS47" s="1493"/>
      <c r="GT47" s="1493"/>
      <c r="GU47" s="1493"/>
      <c r="GV47" s="1493"/>
      <c r="GW47" s="1493"/>
      <c r="GX47" s="1493"/>
      <c r="GY47" s="1493"/>
      <c r="GZ47" s="1493"/>
      <c r="HA47" s="1493"/>
      <c r="HB47" s="1493"/>
      <c r="HC47" s="1493"/>
      <c r="HD47" s="1493"/>
      <c r="HE47" s="1493"/>
      <c r="HF47" s="1493"/>
      <c r="HG47" s="1493"/>
      <c r="HH47" s="1493"/>
      <c r="HI47" s="1493"/>
      <c r="HJ47" s="1493"/>
      <c r="HK47" s="1493"/>
      <c r="HL47" s="1493"/>
      <c r="HM47" s="1493"/>
      <c r="HN47" s="1493"/>
      <c r="HO47" s="1493"/>
      <c r="HP47" s="1493"/>
      <c r="HQ47" s="1493"/>
      <c r="HR47" s="1493"/>
      <c r="HS47" s="1493"/>
      <c r="HT47" s="1493"/>
      <c r="HU47" s="1493"/>
      <c r="HV47" s="1493"/>
      <c r="HW47" s="1493"/>
      <c r="HX47" s="1493"/>
      <c r="HY47" s="1493"/>
      <c r="HZ47" s="1493"/>
      <c r="IA47" s="1493"/>
      <c r="IB47" s="1493"/>
      <c r="IC47" s="1493"/>
      <c r="ID47" s="1493"/>
      <c r="IE47" s="1493"/>
      <c r="IF47" s="1493"/>
      <c r="IG47" s="1493"/>
      <c r="IH47" s="1493"/>
      <c r="II47" s="1493"/>
      <c r="IJ47" s="1493"/>
      <c r="IK47" s="1493"/>
      <c r="IL47" s="1493"/>
      <c r="IM47" s="1493"/>
      <c r="IN47" s="1493"/>
      <c r="IO47" s="1493"/>
      <c r="IP47" s="1493"/>
      <c r="IQ47" s="1493"/>
      <c r="IR47" s="1493"/>
      <c r="IS47" s="1493"/>
      <c r="IT47" s="1493"/>
      <c r="IU47" s="1493"/>
      <c r="IV47" s="1493"/>
    </row>
    <row r="48" spans="1:256">
      <c r="A48" s="1497">
        <f t="shared" si="9"/>
        <v>28</v>
      </c>
      <c r="B48" s="1494" t="s">
        <v>321</v>
      </c>
      <c r="C48" s="609">
        <f t="shared" si="10"/>
        <v>0</v>
      </c>
      <c r="D48" s="609">
        <f t="shared" ref="D48:D56" si="11">D47+C48</f>
        <v>0</v>
      </c>
      <c r="E48" s="1494">
        <v>30</v>
      </c>
      <c r="F48" s="443">
        <v>246</v>
      </c>
      <c r="G48" s="1505">
        <f t="shared" si="6"/>
        <v>0.67397260273972603</v>
      </c>
      <c r="H48" s="609">
        <f t="shared" si="7"/>
        <v>0</v>
      </c>
      <c r="I48" s="609">
        <f t="shared" si="8"/>
        <v>0</v>
      </c>
      <c r="J48" s="1493"/>
      <c r="K48" s="1493"/>
      <c r="L48" s="1493"/>
      <c r="M48" s="1493"/>
      <c r="N48" s="1493"/>
      <c r="O48" s="1493"/>
      <c r="P48" s="1493"/>
      <c r="Q48" s="1493"/>
      <c r="R48" s="1493"/>
      <c r="S48" s="1493"/>
      <c r="T48" s="1493"/>
      <c r="U48" s="1493"/>
      <c r="V48" s="1493"/>
      <c r="W48" s="1493"/>
      <c r="X48" s="1493"/>
      <c r="Y48" s="1493"/>
      <c r="Z48" s="1493"/>
      <c r="AA48" s="1493"/>
      <c r="AB48" s="1493"/>
      <c r="AC48" s="1493"/>
      <c r="AD48" s="1493"/>
      <c r="AE48" s="1493"/>
      <c r="AF48" s="1493"/>
      <c r="AG48" s="1493"/>
      <c r="AH48" s="1493"/>
      <c r="AI48" s="1493"/>
      <c r="AJ48" s="1493"/>
      <c r="AK48" s="1493"/>
      <c r="AL48" s="1493"/>
      <c r="AM48" s="1493"/>
      <c r="AN48" s="1493"/>
      <c r="AO48" s="1493"/>
      <c r="AP48" s="1493"/>
      <c r="AQ48" s="1493"/>
      <c r="AR48" s="1493"/>
      <c r="AS48" s="1493"/>
      <c r="AT48" s="1493"/>
      <c r="AU48" s="1493"/>
      <c r="AV48" s="1493"/>
      <c r="AW48" s="1493"/>
      <c r="AX48" s="1493"/>
      <c r="AY48" s="1493"/>
      <c r="AZ48" s="1493"/>
      <c r="BA48" s="1493"/>
      <c r="BB48" s="1493"/>
      <c r="BC48" s="1493"/>
      <c r="BD48" s="1493"/>
      <c r="BE48" s="1493"/>
      <c r="BF48" s="1493"/>
      <c r="BG48" s="1493"/>
      <c r="BH48" s="1493"/>
      <c r="BI48" s="1493"/>
      <c r="BJ48" s="1493"/>
      <c r="BK48" s="1493"/>
      <c r="BL48" s="1493"/>
      <c r="BM48" s="1493"/>
      <c r="BN48" s="1493"/>
      <c r="BO48" s="1493"/>
      <c r="BP48" s="1493"/>
      <c r="BQ48" s="1493"/>
      <c r="BR48" s="1493"/>
      <c r="BS48" s="1493"/>
      <c r="BT48" s="1493"/>
      <c r="BU48" s="1493"/>
      <c r="BV48" s="1493"/>
      <c r="BW48" s="1493"/>
      <c r="BX48" s="1493"/>
      <c r="BY48" s="1493"/>
      <c r="BZ48" s="1493"/>
      <c r="CA48" s="1493"/>
      <c r="CB48" s="1493"/>
      <c r="CC48" s="1493"/>
      <c r="CD48" s="1493"/>
      <c r="CE48" s="1493"/>
      <c r="CF48" s="1493"/>
      <c r="CG48" s="1493"/>
      <c r="CH48" s="1493"/>
      <c r="CI48" s="1493"/>
      <c r="CJ48" s="1493"/>
      <c r="CK48" s="1493"/>
      <c r="CL48" s="1493"/>
      <c r="CM48" s="1493"/>
      <c r="CN48" s="1493"/>
      <c r="CO48" s="1493"/>
      <c r="CP48" s="1493"/>
      <c r="CQ48" s="1493"/>
      <c r="CR48" s="1493"/>
      <c r="CS48" s="1493"/>
      <c r="CT48" s="1493"/>
      <c r="CU48" s="1493"/>
      <c r="CV48" s="1493"/>
      <c r="CW48" s="1493"/>
      <c r="CX48" s="1493"/>
      <c r="CY48" s="1493"/>
      <c r="CZ48" s="1493"/>
      <c r="DA48" s="1493"/>
      <c r="DB48" s="1493"/>
      <c r="DC48" s="1493"/>
      <c r="DD48" s="1493"/>
      <c r="DE48" s="1493"/>
      <c r="DF48" s="1493"/>
      <c r="DG48" s="1493"/>
      <c r="DH48" s="1493"/>
      <c r="DI48" s="1493"/>
      <c r="DJ48" s="1493"/>
      <c r="DK48" s="1493"/>
      <c r="DL48" s="1493"/>
      <c r="DM48" s="1493"/>
      <c r="DN48" s="1493"/>
      <c r="DO48" s="1493"/>
      <c r="DP48" s="1493"/>
      <c r="DQ48" s="1493"/>
      <c r="DR48" s="1493"/>
      <c r="DS48" s="1493"/>
      <c r="DT48" s="1493"/>
      <c r="DU48" s="1493"/>
      <c r="DV48" s="1493"/>
      <c r="DW48" s="1493"/>
      <c r="DX48" s="1493"/>
      <c r="DY48" s="1493"/>
      <c r="DZ48" s="1493"/>
      <c r="EA48" s="1493"/>
      <c r="EB48" s="1493"/>
      <c r="EC48" s="1493"/>
      <c r="ED48" s="1493"/>
      <c r="EE48" s="1493"/>
      <c r="EF48" s="1493"/>
      <c r="EG48" s="1493"/>
      <c r="EH48" s="1493"/>
      <c r="EI48" s="1493"/>
      <c r="EJ48" s="1493"/>
      <c r="EK48" s="1493"/>
      <c r="EL48" s="1493"/>
      <c r="EM48" s="1493"/>
      <c r="EN48" s="1493"/>
      <c r="EO48" s="1493"/>
      <c r="EP48" s="1493"/>
      <c r="EQ48" s="1493"/>
      <c r="ER48" s="1493"/>
      <c r="ES48" s="1493"/>
      <c r="ET48" s="1493"/>
      <c r="EU48" s="1493"/>
      <c r="EV48" s="1493"/>
      <c r="EW48" s="1493"/>
      <c r="EX48" s="1493"/>
      <c r="EY48" s="1493"/>
      <c r="EZ48" s="1493"/>
      <c r="FA48" s="1493"/>
      <c r="FB48" s="1493"/>
      <c r="FC48" s="1493"/>
      <c r="FD48" s="1493"/>
      <c r="FE48" s="1493"/>
      <c r="FF48" s="1493"/>
      <c r="FG48" s="1493"/>
      <c r="FH48" s="1493"/>
      <c r="FI48" s="1493"/>
      <c r="FJ48" s="1493"/>
      <c r="FK48" s="1493"/>
      <c r="FL48" s="1493"/>
      <c r="FM48" s="1493"/>
      <c r="FN48" s="1493"/>
      <c r="FO48" s="1493"/>
      <c r="FP48" s="1493"/>
      <c r="FQ48" s="1493"/>
      <c r="FR48" s="1493"/>
      <c r="FS48" s="1493"/>
      <c r="FT48" s="1493"/>
      <c r="FU48" s="1493"/>
      <c r="FV48" s="1493"/>
      <c r="FW48" s="1493"/>
      <c r="FX48" s="1493"/>
      <c r="FY48" s="1493"/>
      <c r="FZ48" s="1493"/>
      <c r="GA48" s="1493"/>
      <c r="GB48" s="1493"/>
      <c r="GC48" s="1493"/>
      <c r="GD48" s="1493"/>
      <c r="GE48" s="1493"/>
      <c r="GF48" s="1493"/>
      <c r="GG48" s="1493"/>
      <c r="GH48" s="1493"/>
      <c r="GI48" s="1493"/>
      <c r="GJ48" s="1493"/>
      <c r="GK48" s="1493"/>
      <c r="GL48" s="1493"/>
      <c r="GM48" s="1493"/>
      <c r="GN48" s="1493"/>
      <c r="GO48" s="1493"/>
      <c r="GP48" s="1493"/>
      <c r="GQ48" s="1493"/>
      <c r="GR48" s="1493"/>
      <c r="GS48" s="1493"/>
      <c r="GT48" s="1493"/>
      <c r="GU48" s="1493"/>
      <c r="GV48" s="1493"/>
      <c r="GW48" s="1493"/>
      <c r="GX48" s="1493"/>
      <c r="GY48" s="1493"/>
      <c r="GZ48" s="1493"/>
      <c r="HA48" s="1493"/>
      <c r="HB48" s="1493"/>
      <c r="HC48" s="1493"/>
      <c r="HD48" s="1493"/>
      <c r="HE48" s="1493"/>
      <c r="HF48" s="1493"/>
      <c r="HG48" s="1493"/>
      <c r="HH48" s="1493"/>
      <c r="HI48" s="1493"/>
      <c r="HJ48" s="1493"/>
      <c r="HK48" s="1493"/>
      <c r="HL48" s="1493"/>
      <c r="HM48" s="1493"/>
      <c r="HN48" s="1493"/>
      <c r="HO48" s="1493"/>
      <c r="HP48" s="1493"/>
      <c r="HQ48" s="1493"/>
      <c r="HR48" s="1493"/>
      <c r="HS48" s="1493"/>
      <c r="HT48" s="1493"/>
      <c r="HU48" s="1493"/>
      <c r="HV48" s="1493"/>
      <c r="HW48" s="1493"/>
      <c r="HX48" s="1493"/>
      <c r="HY48" s="1493"/>
      <c r="HZ48" s="1493"/>
      <c r="IA48" s="1493"/>
      <c r="IB48" s="1493"/>
      <c r="IC48" s="1493"/>
      <c r="ID48" s="1493"/>
      <c r="IE48" s="1493"/>
      <c r="IF48" s="1493"/>
      <c r="IG48" s="1493"/>
      <c r="IH48" s="1493"/>
      <c r="II48" s="1493"/>
      <c r="IJ48" s="1493"/>
      <c r="IK48" s="1493"/>
      <c r="IL48" s="1493"/>
      <c r="IM48" s="1493"/>
      <c r="IN48" s="1493"/>
      <c r="IO48" s="1493"/>
      <c r="IP48" s="1493"/>
      <c r="IQ48" s="1493"/>
      <c r="IR48" s="1493"/>
      <c r="IS48" s="1493"/>
      <c r="IT48" s="1493"/>
      <c r="IU48" s="1493"/>
      <c r="IV48" s="1493"/>
    </row>
    <row r="49" spans="1:256">
      <c r="A49" s="1497">
        <f t="shared" si="9"/>
        <v>29</v>
      </c>
      <c r="B49" s="1494" t="s">
        <v>322</v>
      </c>
      <c r="C49" s="609">
        <f t="shared" si="10"/>
        <v>0</v>
      </c>
      <c r="D49" s="609">
        <f t="shared" si="11"/>
        <v>0</v>
      </c>
      <c r="E49" s="1494">
        <v>31</v>
      </c>
      <c r="F49" s="443">
        <v>215</v>
      </c>
      <c r="G49" s="1505">
        <f t="shared" si="6"/>
        <v>0.58904109589041098</v>
      </c>
      <c r="H49" s="609">
        <f t="shared" si="7"/>
        <v>0</v>
      </c>
      <c r="I49" s="609">
        <f t="shared" si="8"/>
        <v>0</v>
      </c>
      <c r="J49" s="1493"/>
      <c r="K49" s="1493"/>
      <c r="L49" s="1493"/>
      <c r="M49" s="1493"/>
      <c r="N49" s="1493"/>
      <c r="O49" s="1493"/>
      <c r="P49" s="1493"/>
      <c r="Q49" s="1493"/>
      <c r="R49" s="1493"/>
      <c r="S49" s="1493"/>
      <c r="T49" s="1493"/>
      <c r="U49" s="1493"/>
      <c r="V49" s="1493"/>
      <c r="W49" s="1493"/>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493"/>
      <c r="AS49" s="1493"/>
      <c r="AT49" s="1493"/>
      <c r="AU49" s="1493"/>
      <c r="AV49" s="1493"/>
      <c r="AW49" s="1493"/>
      <c r="AX49" s="1493"/>
      <c r="AY49" s="1493"/>
      <c r="AZ49" s="1493"/>
      <c r="BA49" s="1493"/>
      <c r="BB49" s="1493"/>
      <c r="BC49" s="1493"/>
      <c r="BD49" s="1493"/>
      <c r="BE49" s="1493"/>
      <c r="BF49" s="1493"/>
      <c r="BG49" s="1493"/>
      <c r="BH49" s="1493"/>
      <c r="BI49" s="1493"/>
      <c r="BJ49" s="1493"/>
      <c r="BK49" s="1493"/>
      <c r="BL49" s="1493"/>
      <c r="BM49" s="1493"/>
      <c r="BN49" s="1493"/>
      <c r="BO49" s="1493"/>
      <c r="BP49" s="1493"/>
      <c r="BQ49" s="1493"/>
      <c r="BR49" s="1493"/>
      <c r="BS49" s="1493"/>
      <c r="BT49" s="1493"/>
      <c r="BU49" s="1493"/>
      <c r="BV49" s="1493"/>
      <c r="BW49" s="1493"/>
      <c r="BX49" s="1493"/>
      <c r="BY49" s="1493"/>
      <c r="BZ49" s="1493"/>
      <c r="CA49" s="1493"/>
      <c r="CB49" s="1493"/>
      <c r="CC49" s="1493"/>
      <c r="CD49" s="1493"/>
      <c r="CE49" s="1493"/>
      <c r="CF49" s="1493"/>
      <c r="CG49" s="1493"/>
      <c r="CH49" s="1493"/>
      <c r="CI49" s="1493"/>
      <c r="CJ49" s="1493"/>
      <c r="CK49" s="1493"/>
      <c r="CL49" s="1493"/>
      <c r="CM49" s="1493"/>
      <c r="CN49" s="1493"/>
      <c r="CO49" s="1493"/>
      <c r="CP49" s="1493"/>
      <c r="CQ49" s="1493"/>
      <c r="CR49" s="1493"/>
      <c r="CS49" s="1493"/>
      <c r="CT49" s="1493"/>
      <c r="CU49" s="1493"/>
      <c r="CV49" s="1493"/>
      <c r="CW49" s="1493"/>
      <c r="CX49" s="1493"/>
      <c r="CY49" s="1493"/>
      <c r="CZ49" s="1493"/>
      <c r="DA49" s="1493"/>
      <c r="DB49" s="1493"/>
      <c r="DC49" s="1493"/>
      <c r="DD49" s="1493"/>
      <c r="DE49" s="1493"/>
      <c r="DF49" s="1493"/>
      <c r="DG49" s="1493"/>
      <c r="DH49" s="1493"/>
      <c r="DI49" s="1493"/>
      <c r="DJ49" s="1493"/>
      <c r="DK49" s="1493"/>
      <c r="DL49" s="1493"/>
      <c r="DM49" s="1493"/>
      <c r="DN49" s="1493"/>
      <c r="DO49" s="1493"/>
      <c r="DP49" s="1493"/>
      <c r="DQ49" s="1493"/>
      <c r="DR49" s="1493"/>
      <c r="DS49" s="1493"/>
      <c r="DT49" s="1493"/>
      <c r="DU49" s="1493"/>
      <c r="DV49" s="1493"/>
      <c r="DW49" s="1493"/>
      <c r="DX49" s="1493"/>
      <c r="DY49" s="1493"/>
      <c r="DZ49" s="1493"/>
      <c r="EA49" s="1493"/>
      <c r="EB49" s="1493"/>
      <c r="EC49" s="1493"/>
      <c r="ED49" s="1493"/>
      <c r="EE49" s="1493"/>
      <c r="EF49" s="1493"/>
      <c r="EG49" s="1493"/>
      <c r="EH49" s="1493"/>
      <c r="EI49" s="1493"/>
      <c r="EJ49" s="1493"/>
      <c r="EK49" s="1493"/>
      <c r="EL49" s="1493"/>
      <c r="EM49" s="1493"/>
      <c r="EN49" s="1493"/>
      <c r="EO49" s="1493"/>
      <c r="EP49" s="1493"/>
      <c r="EQ49" s="1493"/>
      <c r="ER49" s="1493"/>
      <c r="ES49" s="1493"/>
      <c r="ET49" s="1493"/>
      <c r="EU49" s="1493"/>
      <c r="EV49" s="1493"/>
      <c r="EW49" s="1493"/>
      <c r="EX49" s="1493"/>
      <c r="EY49" s="1493"/>
      <c r="EZ49" s="1493"/>
      <c r="FA49" s="1493"/>
      <c r="FB49" s="1493"/>
      <c r="FC49" s="1493"/>
      <c r="FD49" s="1493"/>
      <c r="FE49" s="1493"/>
      <c r="FF49" s="1493"/>
      <c r="FG49" s="1493"/>
      <c r="FH49" s="1493"/>
      <c r="FI49" s="1493"/>
      <c r="FJ49" s="1493"/>
      <c r="FK49" s="1493"/>
      <c r="FL49" s="1493"/>
      <c r="FM49" s="1493"/>
      <c r="FN49" s="1493"/>
      <c r="FO49" s="1493"/>
      <c r="FP49" s="1493"/>
      <c r="FQ49" s="1493"/>
      <c r="FR49" s="1493"/>
      <c r="FS49" s="1493"/>
      <c r="FT49" s="1493"/>
      <c r="FU49" s="1493"/>
      <c r="FV49" s="1493"/>
      <c r="FW49" s="1493"/>
      <c r="FX49" s="1493"/>
      <c r="FY49" s="1493"/>
      <c r="FZ49" s="1493"/>
      <c r="GA49" s="1493"/>
      <c r="GB49" s="1493"/>
      <c r="GC49" s="1493"/>
      <c r="GD49" s="1493"/>
      <c r="GE49" s="1493"/>
      <c r="GF49" s="1493"/>
      <c r="GG49" s="1493"/>
      <c r="GH49" s="1493"/>
      <c r="GI49" s="1493"/>
      <c r="GJ49" s="1493"/>
      <c r="GK49" s="1493"/>
      <c r="GL49" s="1493"/>
      <c r="GM49" s="1493"/>
      <c r="GN49" s="1493"/>
      <c r="GO49" s="1493"/>
      <c r="GP49" s="1493"/>
      <c r="GQ49" s="1493"/>
      <c r="GR49" s="1493"/>
      <c r="GS49" s="1493"/>
      <c r="GT49" s="1493"/>
      <c r="GU49" s="1493"/>
      <c r="GV49" s="1493"/>
      <c r="GW49" s="1493"/>
      <c r="GX49" s="1493"/>
      <c r="GY49" s="1493"/>
      <c r="GZ49" s="1493"/>
      <c r="HA49" s="1493"/>
      <c r="HB49" s="1493"/>
      <c r="HC49" s="1493"/>
      <c r="HD49" s="1493"/>
      <c r="HE49" s="1493"/>
      <c r="HF49" s="1493"/>
      <c r="HG49" s="1493"/>
      <c r="HH49" s="1493"/>
      <c r="HI49" s="1493"/>
      <c r="HJ49" s="1493"/>
      <c r="HK49" s="1493"/>
      <c r="HL49" s="1493"/>
      <c r="HM49" s="1493"/>
      <c r="HN49" s="1493"/>
      <c r="HO49" s="1493"/>
      <c r="HP49" s="1493"/>
      <c r="HQ49" s="1493"/>
      <c r="HR49" s="1493"/>
      <c r="HS49" s="1493"/>
      <c r="HT49" s="1493"/>
      <c r="HU49" s="1493"/>
      <c r="HV49" s="1493"/>
      <c r="HW49" s="1493"/>
      <c r="HX49" s="1493"/>
      <c r="HY49" s="1493"/>
      <c r="HZ49" s="1493"/>
      <c r="IA49" s="1493"/>
      <c r="IB49" s="1493"/>
      <c r="IC49" s="1493"/>
      <c r="ID49" s="1493"/>
      <c r="IE49" s="1493"/>
      <c r="IF49" s="1493"/>
      <c r="IG49" s="1493"/>
      <c r="IH49" s="1493"/>
      <c r="II49" s="1493"/>
      <c r="IJ49" s="1493"/>
      <c r="IK49" s="1493"/>
      <c r="IL49" s="1493"/>
      <c r="IM49" s="1493"/>
      <c r="IN49" s="1493"/>
      <c r="IO49" s="1493"/>
      <c r="IP49" s="1493"/>
      <c r="IQ49" s="1493"/>
      <c r="IR49" s="1493"/>
      <c r="IS49" s="1493"/>
      <c r="IT49" s="1493"/>
      <c r="IU49" s="1493"/>
      <c r="IV49" s="1493"/>
    </row>
    <row r="50" spans="1:256">
      <c r="A50" s="1497">
        <f t="shared" si="9"/>
        <v>30</v>
      </c>
      <c r="B50" s="1494" t="s">
        <v>48</v>
      </c>
      <c r="C50" s="609">
        <f t="shared" si="10"/>
        <v>0</v>
      </c>
      <c r="D50" s="609">
        <f t="shared" si="11"/>
        <v>0</v>
      </c>
      <c r="E50" s="1494">
        <v>30</v>
      </c>
      <c r="F50" s="443">
        <v>185</v>
      </c>
      <c r="G50" s="1505">
        <f t="shared" si="6"/>
        <v>0.50684931506849318</v>
      </c>
      <c r="H50" s="609">
        <f t="shared" si="7"/>
        <v>0</v>
      </c>
      <c r="I50" s="609">
        <f t="shared" si="8"/>
        <v>0</v>
      </c>
      <c r="J50" s="1493"/>
      <c r="K50" s="1493"/>
      <c r="L50" s="1493"/>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493"/>
      <c r="AS50" s="1493"/>
      <c r="AT50" s="1493"/>
      <c r="AU50" s="1493"/>
      <c r="AV50" s="1493"/>
      <c r="AW50" s="1493"/>
      <c r="AX50" s="1493"/>
      <c r="AY50" s="1493"/>
      <c r="AZ50" s="1493"/>
      <c r="BA50" s="1493"/>
      <c r="BB50" s="1493"/>
      <c r="BC50" s="1493"/>
      <c r="BD50" s="1493"/>
      <c r="BE50" s="1493"/>
      <c r="BF50" s="1493"/>
      <c r="BG50" s="1493"/>
      <c r="BH50" s="1493"/>
      <c r="BI50" s="1493"/>
      <c r="BJ50" s="1493"/>
      <c r="BK50" s="1493"/>
      <c r="BL50" s="1493"/>
      <c r="BM50" s="1493"/>
      <c r="BN50" s="1493"/>
      <c r="BO50" s="1493"/>
      <c r="BP50" s="1493"/>
      <c r="BQ50" s="1493"/>
      <c r="BR50" s="1493"/>
      <c r="BS50" s="1493"/>
      <c r="BT50" s="1493"/>
      <c r="BU50" s="1493"/>
      <c r="BV50" s="1493"/>
      <c r="BW50" s="1493"/>
      <c r="BX50" s="1493"/>
      <c r="BY50" s="1493"/>
      <c r="BZ50" s="1493"/>
      <c r="CA50" s="1493"/>
      <c r="CB50" s="1493"/>
      <c r="CC50" s="1493"/>
      <c r="CD50" s="1493"/>
      <c r="CE50" s="1493"/>
      <c r="CF50" s="1493"/>
      <c r="CG50" s="1493"/>
      <c r="CH50" s="1493"/>
      <c r="CI50" s="1493"/>
      <c r="CJ50" s="1493"/>
      <c r="CK50" s="1493"/>
      <c r="CL50" s="1493"/>
      <c r="CM50" s="1493"/>
      <c r="CN50" s="1493"/>
      <c r="CO50" s="1493"/>
      <c r="CP50" s="1493"/>
      <c r="CQ50" s="1493"/>
      <c r="CR50" s="1493"/>
      <c r="CS50" s="1493"/>
      <c r="CT50" s="1493"/>
      <c r="CU50" s="1493"/>
      <c r="CV50" s="1493"/>
      <c r="CW50" s="1493"/>
      <c r="CX50" s="1493"/>
      <c r="CY50" s="1493"/>
      <c r="CZ50" s="1493"/>
      <c r="DA50" s="1493"/>
      <c r="DB50" s="1493"/>
      <c r="DC50" s="1493"/>
      <c r="DD50" s="1493"/>
      <c r="DE50" s="1493"/>
      <c r="DF50" s="1493"/>
      <c r="DG50" s="1493"/>
      <c r="DH50" s="1493"/>
      <c r="DI50" s="1493"/>
      <c r="DJ50" s="1493"/>
      <c r="DK50" s="1493"/>
      <c r="DL50" s="1493"/>
      <c r="DM50" s="1493"/>
      <c r="DN50" s="1493"/>
      <c r="DO50" s="1493"/>
      <c r="DP50" s="1493"/>
      <c r="DQ50" s="1493"/>
      <c r="DR50" s="1493"/>
      <c r="DS50" s="1493"/>
      <c r="DT50" s="1493"/>
      <c r="DU50" s="1493"/>
      <c r="DV50" s="1493"/>
      <c r="DW50" s="1493"/>
      <c r="DX50" s="1493"/>
      <c r="DY50" s="1493"/>
      <c r="DZ50" s="1493"/>
      <c r="EA50" s="1493"/>
      <c r="EB50" s="1493"/>
      <c r="EC50" s="1493"/>
      <c r="ED50" s="1493"/>
      <c r="EE50" s="1493"/>
      <c r="EF50" s="1493"/>
      <c r="EG50" s="1493"/>
      <c r="EH50" s="1493"/>
      <c r="EI50" s="1493"/>
      <c r="EJ50" s="1493"/>
      <c r="EK50" s="1493"/>
      <c r="EL50" s="1493"/>
      <c r="EM50" s="1493"/>
      <c r="EN50" s="1493"/>
      <c r="EO50" s="1493"/>
      <c r="EP50" s="1493"/>
      <c r="EQ50" s="1493"/>
      <c r="ER50" s="1493"/>
      <c r="ES50" s="1493"/>
      <c r="ET50" s="1493"/>
      <c r="EU50" s="1493"/>
      <c r="EV50" s="1493"/>
      <c r="EW50" s="1493"/>
      <c r="EX50" s="1493"/>
      <c r="EY50" s="1493"/>
      <c r="EZ50" s="1493"/>
      <c r="FA50" s="1493"/>
      <c r="FB50" s="1493"/>
      <c r="FC50" s="1493"/>
      <c r="FD50" s="1493"/>
      <c r="FE50" s="1493"/>
      <c r="FF50" s="1493"/>
      <c r="FG50" s="1493"/>
      <c r="FH50" s="1493"/>
      <c r="FI50" s="1493"/>
      <c r="FJ50" s="1493"/>
      <c r="FK50" s="1493"/>
      <c r="FL50" s="1493"/>
      <c r="FM50" s="1493"/>
      <c r="FN50" s="1493"/>
      <c r="FO50" s="1493"/>
      <c r="FP50" s="1493"/>
      <c r="FQ50" s="1493"/>
      <c r="FR50" s="1493"/>
      <c r="FS50" s="1493"/>
      <c r="FT50" s="1493"/>
      <c r="FU50" s="1493"/>
      <c r="FV50" s="1493"/>
      <c r="FW50" s="1493"/>
      <c r="FX50" s="1493"/>
      <c r="FY50" s="1493"/>
      <c r="FZ50" s="1493"/>
      <c r="GA50" s="1493"/>
      <c r="GB50" s="1493"/>
      <c r="GC50" s="1493"/>
      <c r="GD50" s="1493"/>
      <c r="GE50" s="1493"/>
      <c r="GF50" s="1493"/>
      <c r="GG50" s="1493"/>
      <c r="GH50" s="1493"/>
      <c r="GI50" s="1493"/>
      <c r="GJ50" s="1493"/>
      <c r="GK50" s="1493"/>
      <c r="GL50" s="1493"/>
      <c r="GM50" s="1493"/>
      <c r="GN50" s="1493"/>
      <c r="GO50" s="1493"/>
      <c r="GP50" s="1493"/>
      <c r="GQ50" s="1493"/>
      <c r="GR50" s="1493"/>
      <c r="GS50" s="1493"/>
      <c r="GT50" s="1493"/>
      <c r="GU50" s="1493"/>
      <c r="GV50" s="1493"/>
      <c r="GW50" s="1493"/>
      <c r="GX50" s="1493"/>
      <c r="GY50" s="1493"/>
      <c r="GZ50" s="1493"/>
      <c r="HA50" s="1493"/>
      <c r="HB50" s="1493"/>
      <c r="HC50" s="1493"/>
      <c r="HD50" s="1493"/>
      <c r="HE50" s="1493"/>
      <c r="HF50" s="1493"/>
      <c r="HG50" s="1493"/>
      <c r="HH50" s="1493"/>
      <c r="HI50" s="1493"/>
      <c r="HJ50" s="1493"/>
      <c r="HK50" s="1493"/>
      <c r="HL50" s="1493"/>
      <c r="HM50" s="1493"/>
      <c r="HN50" s="1493"/>
      <c r="HO50" s="1493"/>
      <c r="HP50" s="1493"/>
      <c r="HQ50" s="1493"/>
      <c r="HR50" s="1493"/>
      <c r="HS50" s="1493"/>
      <c r="HT50" s="1493"/>
      <c r="HU50" s="1493"/>
      <c r="HV50" s="1493"/>
      <c r="HW50" s="1493"/>
      <c r="HX50" s="1493"/>
      <c r="HY50" s="1493"/>
      <c r="HZ50" s="1493"/>
      <c r="IA50" s="1493"/>
      <c r="IB50" s="1493"/>
      <c r="IC50" s="1493"/>
      <c r="ID50" s="1493"/>
      <c r="IE50" s="1493"/>
      <c r="IF50" s="1493"/>
      <c r="IG50" s="1493"/>
      <c r="IH50" s="1493"/>
      <c r="II50" s="1493"/>
      <c r="IJ50" s="1493"/>
      <c r="IK50" s="1493"/>
      <c r="IL50" s="1493"/>
      <c r="IM50" s="1493"/>
      <c r="IN50" s="1493"/>
      <c r="IO50" s="1493"/>
      <c r="IP50" s="1493"/>
      <c r="IQ50" s="1493"/>
      <c r="IR50" s="1493"/>
      <c r="IS50" s="1493"/>
      <c r="IT50" s="1493"/>
      <c r="IU50" s="1493"/>
      <c r="IV50" s="1493"/>
    </row>
    <row r="51" spans="1:256">
      <c r="A51" s="1497">
        <f t="shared" si="9"/>
        <v>31</v>
      </c>
      <c r="B51" s="1494" t="s">
        <v>323</v>
      </c>
      <c r="C51" s="609">
        <f t="shared" si="10"/>
        <v>0</v>
      </c>
      <c r="D51" s="609">
        <f t="shared" si="11"/>
        <v>0</v>
      </c>
      <c r="E51" s="1494">
        <v>31</v>
      </c>
      <c r="F51" s="443">
        <v>154</v>
      </c>
      <c r="G51" s="1505">
        <f t="shared" si="6"/>
        <v>0.42191780821917807</v>
      </c>
      <c r="H51" s="609">
        <f t="shared" si="7"/>
        <v>0</v>
      </c>
      <c r="I51" s="609">
        <f t="shared" si="8"/>
        <v>0</v>
      </c>
      <c r="J51" s="1493"/>
      <c r="K51" s="1493"/>
      <c r="L51" s="1493"/>
      <c r="M51" s="1493"/>
      <c r="N51" s="1493"/>
      <c r="O51" s="1493"/>
      <c r="P51" s="1493"/>
      <c r="Q51" s="1493"/>
      <c r="R51" s="1493"/>
      <c r="S51" s="1493"/>
      <c r="T51" s="1493"/>
      <c r="U51" s="1493"/>
      <c r="V51" s="1493"/>
      <c r="W51" s="1493"/>
      <c r="X51" s="1493"/>
      <c r="Y51" s="1493"/>
      <c r="Z51" s="1493"/>
      <c r="AA51" s="1493"/>
      <c r="AB51" s="1493"/>
      <c r="AC51" s="1493"/>
      <c r="AD51" s="1493"/>
      <c r="AE51" s="1493"/>
      <c r="AF51" s="1493"/>
      <c r="AG51" s="1493"/>
      <c r="AH51" s="1493"/>
      <c r="AI51" s="1493"/>
      <c r="AJ51" s="1493"/>
      <c r="AK51" s="1493"/>
      <c r="AL51" s="1493"/>
      <c r="AM51" s="1493"/>
      <c r="AN51" s="1493"/>
      <c r="AO51" s="1493"/>
      <c r="AP51" s="1493"/>
      <c r="AQ51" s="1493"/>
      <c r="AR51" s="1493"/>
      <c r="AS51" s="1493"/>
      <c r="AT51" s="1493"/>
      <c r="AU51" s="1493"/>
      <c r="AV51" s="1493"/>
      <c r="AW51" s="1493"/>
      <c r="AX51" s="1493"/>
      <c r="AY51" s="1493"/>
      <c r="AZ51" s="1493"/>
      <c r="BA51" s="1493"/>
      <c r="BB51" s="1493"/>
      <c r="BC51" s="1493"/>
      <c r="BD51" s="1493"/>
      <c r="BE51" s="1493"/>
      <c r="BF51" s="1493"/>
      <c r="BG51" s="1493"/>
      <c r="BH51" s="1493"/>
      <c r="BI51" s="1493"/>
      <c r="BJ51" s="1493"/>
      <c r="BK51" s="1493"/>
      <c r="BL51" s="1493"/>
      <c r="BM51" s="1493"/>
      <c r="BN51" s="1493"/>
      <c r="BO51" s="1493"/>
      <c r="BP51" s="1493"/>
      <c r="BQ51" s="1493"/>
      <c r="BR51" s="1493"/>
      <c r="BS51" s="1493"/>
      <c r="BT51" s="1493"/>
      <c r="BU51" s="1493"/>
      <c r="BV51" s="1493"/>
      <c r="BW51" s="1493"/>
      <c r="BX51" s="1493"/>
      <c r="BY51" s="1493"/>
      <c r="BZ51" s="1493"/>
      <c r="CA51" s="1493"/>
      <c r="CB51" s="1493"/>
      <c r="CC51" s="1493"/>
      <c r="CD51" s="1493"/>
      <c r="CE51" s="1493"/>
      <c r="CF51" s="1493"/>
      <c r="CG51" s="1493"/>
      <c r="CH51" s="1493"/>
      <c r="CI51" s="1493"/>
      <c r="CJ51" s="1493"/>
      <c r="CK51" s="1493"/>
      <c r="CL51" s="1493"/>
      <c r="CM51" s="1493"/>
      <c r="CN51" s="1493"/>
      <c r="CO51" s="1493"/>
      <c r="CP51" s="1493"/>
      <c r="CQ51" s="1493"/>
      <c r="CR51" s="1493"/>
      <c r="CS51" s="1493"/>
      <c r="CT51" s="1493"/>
      <c r="CU51" s="1493"/>
      <c r="CV51" s="1493"/>
      <c r="CW51" s="1493"/>
      <c r="CX51" s="1493"/>
      <c r="CY51" s="1493"/>
      <c r="CZ51" s="1493"/>
      <c r="DA51" s="1493"/>
      <c r="DB51" s="1493"/>
      <c r="DC51" s="1493"/>
      <c r="DD51" s="1493"/>
      <c r="DE51" s="1493"/>
      <c r="DF51" s="1493"/>
      <c r="DG51" s="1493"/>
      <c r="DH51" s="1493"/>
      <c r="DI51" s="1493"/>
      <c r="DJ51" s="1493"/>
      <c r="DK51" s="1493"/>
      <c r="DL51" s="1493"/>
      <c r="DM51" s="1493"/>
      <c r="DN51" s="1493"/>
      <c r="DO51" s="1493"/>
      <c r="DP51" s="1493"/>
      <c r="DQ51" s="1493"/>
      <c r="DR51" s="1493"/>
      <c r="DS51" s="1493"/>
      <c r="DT51" s="1493"/>
      <c r="DU51" s="1493"/>
      <c r="DV51" s="1493"/>
      <c r="DW51" s="1493"/>
      <c r="DX51" s="1493"/>
      <c r="DY51" s="1493"/>
      <c r="DZ51" s="1493"/>
      <c r="EA51" s="1493"/>
      <c r="EB51" s="1493"/>
      <c r="EC51" s="1493"/>
      <c r="ED51" s="1493"/>
      <c r="EE51" s="1493"/>
      <c r="EF51" s="1493"/>
      <c r="EG51" s="1493"/>
      <c r="EH51" s="1493"/>
      <c r="EI51" s="1493"/>
      <c r="EJ51" s="1493"/>
      <c r="EK51" s="1493"/>
      <c r="EL51" s="1493"/>
      <c r="EM51" s="1493"/>
      <c r="EN51" s="1493"/>
      <c r="EO51" s="1493"/>
      <c r="EP51" s="1493"/>
      <c r="EQ51" s="1493"/>
      <c r="ER51" s="1493"/>
      <c r="ES51" s="1493"/>
      <c r="ET51" s="1493"/>
      <c r="EU51" s="1493"/>
      <c r="EV51" s="1493"/>
      <c r="EW51" s="1493"/>
      <c r="EX51" s="1493"/>
      <c r="EY51" s="1493"/>
      <c r="EZ51" s="1493"/>
      <c r="FA51" s="1493"/>
      <c r="FB51" s="1493"/>
      <c r="FC51" s="1493"/>
      <c r="FD51" s="1493"/>
      <c r="FE51" s="1493"/>
      <c r="FF51" s="1493"/>
      <c r="FG51" s="1493"/>
      <c r="FH51" s="1493"/>
      <c r="FI51" s="1493"/>
      <c r="FJ51" s="1493"/>
      <c r="FK51" s="1493"/>
      <c r="FL51" s="1493"/>
      <c r="FM51" s="1493"/>
      <c r="FN51" s="1493"/>
      <c r="FO51" s="1493"/>
      <c r="FP51" s="1493"/>
      <c r="FQ51" s="1493"/>
      <c r="FR51" s="1493"/>
      <c r="FS51" s="1493"/>
      <c r="FT51" s="1493"/>
      <c r="FU51" s="1493"/>
      <c r="FV51" s="1493"/>
      <c r="FW51" s="1493"/>
      <c r="FX51" s="1493"/>
      <c r="FY51" s="1493"/>
      <c r="FZ51" s="1493"/>
      <c r="GA51" s="1493"/>
      <c r="GB51" s="1493"/>
      <c r="GC51" s="1493"/>
      <c r="GD51" s="1493"/>
      <c r="GE51" s="1493"/>
      <c r="GF51" s="1493"/>
      <c r="GG51" s="1493"/>
      <c r="GH51" s="1493"/>
      <c r="GI51" s="1493"/>
      <c r="GJ51" s="1493"/>
      <c r="GK51" s="1493"/>
      <c r="GL51" s="1493"/>
      <c r="GM51" s="1493"/>
      <c r="GN51" s="1493"/>
      <c r="GO51" s="1493"/>
      <c r="GP51" s="1493"/>
      <c r="GQ51" s="1493"/>
      <c r="GR51" s="1493"/>
      <c r="GS51" s="1493"/>
      <c r="GT51" s="1493"/>
      <c r="GU51" s="1493"/>
      <c r="GV51" s="1493"/>
      <c r="GW51" s="1493"/>
      <c r="GX51" s="1493"/>
      <c r="GY51" s="1493"/>
      <c r="GZ51" s="1493"/>
      <c r="HA51" s="1493"/>
      <c r="HB51" s="1493"/>
      <c r="HC51" s="1493"/>
      <c r="HD51" s="1493"/>
      <c r="HE51" s="1493"/>
      <c r="HF51" s="1493"/>
      <c r="HG51" s="1493"/>
      <c r="HH51" s="1493"/>
      <c r="HI51" s="1493"/>
      <c r="HJ51" s="1493"/>
      <c r="HK51" s="1493"/>
      <c r="HL51" s="1493"/>
      <c r="HM51" s="1493"/>
      <c r="HN51" s="1493"/>
      <c r="HO51" s="1493"/>
      <c r="HP51" s="1493"/>
      <c r="HQ51" s="1493"/>
      <c r="HR51" s="1493"/>
      <c r="HS51" s="1493"/>
      <c r="HT51" s="1493"/>
      <c r="HU51" s="1493"/>
      <c r="HV51" s="1493"/>
      <c r="HW51" s="1493"/>
      <c r="HX51" s="1493"/>
      <c r="HY51" s="1493"/>
      <c r="HZ51" s="1493"/>
      <c r="IA51" s="1493"/>
      <c r="IB51" s="1493"/>
      <c r="IC51" s="1493"/>
      <c r="ID51" s="1493"/>
      <c r="IE51" s="1493"/>
      <c r="IF51" s="1493"/>
      <c r="IG51" s="1493"/>
      <c r="IH51" s="1493"/>
      <c r="II51" s="1493"/>
      <c r="IJ51" s="1493"/>
      <c r="IK51" s="1493"/>
      <c r="IL51" s="1493"/>
      <c r="IM51" s="1493"/>
      <c r="IN51" s="1493"/>
      <c r="IO51" s="1493"/>
      <c r="IP51" s="1493"/>
      <c r="IQ51" s="1493"/>
      <c r="IR51" s="1493"/>
      <c r="IS51" s="1493"/>
      <c r="IT51" s="1493"/>
      <c r="IU51" s="1493"/>
      <c r="IV51" s="1493"/>
    </row>
    <row r="52" spans="1:256">
      <c r="A52" s="1497">
        <f t="shared" si="9"/>
        <v>32</v>
      </c>
      <c r="B52" s="1494" t="s">
        <v>324</v>
      </c>
      <c r="C52" s="609">
        <f t="shared" si="10"/>
        <v>0</v>
      </c>
      <c r="D52" s="609">
        <f t="shared" si="11"/>
        <v>0</v>
      </c>
      <c r="E52" s="1494">
        <v>31</v>
      </c>
      <c r="F52" s="443">
        <v>123</v>
      </c>
      <c r="G52" s="1505">
        <f t="shared" si="6"/>
        <v>0.33698630136986302</v>
      </c>
      <c r="H52" s="609">
        <f t="shared" si="7"/>
        <v>0</v>
      </c>
      <c r="I52" s="609">
        <f t="shared" si="8"/>
        <v>0</v>
      </c>
      <c r="J52" s="1493"/>
      <c r="K52" s="1493"/>
      <c r="L52" s="1493"/>
      <c r="M52" s="1493"/>
      <c r="N52" s="1493"/>
      <c r="O52" s="1493"/>
      <c r="P52" s="1493"/>
      <c r="Q52" s="1493"/>
      <c r="R52" s="1493"/>
      <c r="S52" s="1493"/>
      <c r="T52" s="1493"/>
      <c r="U52" s="1493"/>
      <c r="V52" s="1493"/>
      <c r="W52" s="1493"/>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493"/>
      <c r="AS52" s="1493"/>
      <c r="AT52" s="1493"/>
      <c r="AU52" s="1493"/>
      <c r="AV52" s="1493"/>
      <c r="AW52" s="1493"/>
      <c r="AX52" s="1493"/>
      <c r="AY52" s="1493"/>
      <c r="AZ52" s="1493"/>
      <c r="BA52" s="1493"/>
      <c r="BB52" s="1493"/>
      <c r="BC52" s="1493"/>
      <c r="BD52" s="1493"/>
      <c r="BE52" s="1493"/>
      <c r="BF52" s="1493"/>
      <c r="BG52" s="1493"/>
      <c r="BH52" s="1493"/>
      <c r="BI52" s="1493"/>
      <c r="BJ52" s="1493"/>
      <c r="BK52" s="1493"/>
      <c r="BL52" s="1493"/>
      <c r="BM52" s="1493"/>
      <c r="BN52" s="1493"/>
      <c r="BO52" s="1493"/>
      <c r="BP52" s="1493"/>
      <c r="BQ52" s="1493"/>
      <c r="BR52" s="1493"/>
      <c r="BS52" s="1493"/>
      <c r="BT52" s="1493"/>
      <c r="BU52" s="1493"/>
      <c r="BV52" s="1493"/>
      <c r="BW52" s="1493"/>
      <c r="BX52" s="1493"/>
      <c r="BY52" s="1493"/>
      <c r="BZ52" s="1493"/>
      <c r="CA52" s="1493"/>
      <c r="CB52" s="1493"/>
      <c r="CC52" s="1493"/>
      <c r="CD52" s="1493"/>
      <c r="CE52" s="1493"/>
      <c r="CF52" s="1493"/>
      <c r="CG52" s="1493"/>
      <c r="CH52" s="1493"/>
      <c r="CI52" s="1493"/>
      <c r="CJ52" s="1493"/>
      <c r="CK52" s="1493"/>
      <c r="CL52" s="1493"/>
      <c r="CM52" s="1493"/>
      <c r="CN52" s="1493"/>
      <c r="CO52" s="1493"/>
      <c r="CP52" s="1493"/>
      <c r="CQ52" s="1493"/>
      <c r="CR52" s="1493"/>
      <c r="CS52" s="1493"/>
      <c r="CT52" s="1493"/>
      <c r="CU52" s="1493"/>
      <c r="CV52" s="1493"/>
      <c r="CW52" s="1493"/>
      <c r="CX52" s="1493"/>
      <c r="CY52" s="1493"/>
      <c r="CZ52" s="1493"/>
      <c r="DA52" s="1493"/>
      <c r="DB52" s="1493"/>
      <c r="DC52" s="1493"/>
      <c r="DD52" s="1493"/>
      <c r="DE52" s="1493"/>
      <c r="DF52" s="1493"/>
      <c r="DG52" s="1493"/>
      <c r="DH52" s="1493"/>
      <c r="DI52" s="1493"/>
      <c r="DJ52" s="1493"/>
      <c r="DK52" s="1493"/>
      <c r="DL52" s="1493"/>
      <c r="DM52" s="1493"/>
      <c r="DN52" s="1493"/>
      <c r="DO52" s="1493"/>
      <c r="DP52" s="1493"/>
      <c r="DQ52" s="1493"/>
      <c r="DR52" s="1493"/>
      <c r="DS52" s="1493"/>
      <c r="DT52" s="1493"/>
      <c r="DU52" s="1493"/>
      <c r="DV52" s="1493"/>
      <c r="DW52" s="1493"/>
      <c r="DX52" s="1493"/>
      <c r="DY52" s="1493"/>
      <c r="DZ52" s="1493"/>
      <c r="EA52" s="1493"/>
      <c r="EB52" s="1493"/>
      <c r="EC52" s="1493"/>
      <c r="ED52" s="1493"/>
      <c r="EE52" s="1493"/>
      <c r="EF52" s="1493"/>
      <c r="EG52" s="1493"/>
      <c r="EH52" s="1493"/>
      <c r="EI52" s="1493"/>
      <c r="EJ52" s="1493"/>
      <c r="EK52" s="1493"/>
      <c r="EL52" s="1493"/>
      <c r="EM52" s="1493"/>
      <c r="EN52" s="1493"/>
      <c r="EO52" s="1493"/>
      <c r="EP52" s="1493"/>
      <c r="EQ52" s="1493"/>
      <c r="ER52" s="1493"/>
      <c r="ES52" s="1493"/>
      <c r="ET52" s="1493"/>
      <c r="EU52" s="1493"/>
      <c r="EV52" s="1493"/>
      <c r="EW52" s="1493"/>
      <c r="EX52" s="1493"/>
      <c r="EY52" s="1493"/>
      <c r="EZ52" s="1493"/>
      <c r="FA52" s="1493"/>
      <c r="FB52" s="1493"/>
      <c r="FC52" s="1493"/>
      <c r="FD52" s="1493"/>
      <c r="FE52" s="1493"/>
      <c r="FF52" s="1493"/>
      <c r="FG52" s="1493"/>
      <c r="FH52" s="1493"/>
      <c r="FI52" s="1493"/>
      <c r="FJ52" s="1493"/>
      <c r="FK52" s="1493"/>
      <c r="FL52" s="1493"/>
      <c r="FM52" s="1493"/>
      <c r="FN52" s="1493"/>
      <c r="FO52" s="1493"/>
      <c r="FP52" s="1493"/>
      <c r="FQ52" s="1493"/>
      <c r="FR52" s="1493"/>
      <c r="FS52" s="1493"/>
      <c r="FT52" s="1493"/>
      <c r="FU52" s="1493"/>
      <c r="FV52" s="1493"/>
      <c r="FW52" s="1493"/>
      <c r="FX52" s="1493"/>
      <c r="FY52" s="1493"/>
      <c r="FZ52" s="1493"/>
      <c r="GA52" s="1493"/>
      <c r="GB52" s="1493"/>
      <c r="GC52" s="1493"/>
      <c r="GD52" s="1493"/>
      <c r="GE52" s="1493"/>
      <c r="GF52" s="1493"/>
      <c r="GG52" s="1493"/>
      <c r="GH52" s="1493"/>
      <c r="GI52" s="1493"/>
      <c r="GJ52" s="1493"/>
      <c r="GK52" s="1493"/>
      <c r="GL52" s="1493"/>
      <c r="GM52" s="1493"/>
      <c r="GN52" s="1493"/>
      <c r="GO52" s="1493"/>
      <c r="GP52" s="1493"/>
      <c r="GQ52" s="1493"/>
      <c r="GR52" s="1493"/>
      <c r="GS52" s="1493"/>
      <c r="GT52" s="1493"/>
      <c r="GU52" s="1493"/>
      <c r="GV52" s="1493"/>
      <c r="GW52" s="1493"/>
      <c r="GX52" s="1493"/>
      <c r="GY52" s="1493"/>
      <c r="GZ52" s="1493"/>
      <c r="HA52" s="1493"/>
      <c r="HB52" s="1493"/>
      <c r="HC52" s="1493"/>
      <c r="HD52" s="1493"/>
      <c r="HE52" s="1493"/>
      <c r="HF52" s="1493"/>
      <c r="HG52" s="1493"/>
      <c r="HH52" s="1493"/>
      <c r="HI52" s="1493"/>
      <c r="HJ52" s="1493"/>
      <c r="HK52" s="1493"/>
      <c r="HL52" s="1493"/>
      <c r="HM52" s="1493"/>
      <c r="HN52" s="1493"/>
      <c r="HO52" s="1493"/>
      <c r="HP52" s="1493"/>
      <c r="HQ52" s="1493"/>
      <c r="HR52" s="1493"/>
      <c r="HS52" s="1493"/>
      <c r="HT52" s="1493"/>
      <c r="HU52" s="1493"/>
      <c r="HV52" s="1493"/>
      <c r="HW52" s="1493"/>
      <c r="HX52" s="1493"/>
      <c r="HY52" s="1493"/>
      <c r="HZ52" s="1493"/>
      <c r="IA52" s="1493"/>
      <c r="IB52" s="1493"/>
      <c r="IC52" s="1493"/>
      <c r="ID52" s="1493"/>
      <c r="IE52" s="1493"/>
      <c r="IF52" s="1493"/>
      <c r="IG52" s="1493"/>
      <c r="IH52" s="1493"/>
      <c r="II52" s="1493"/>
      <c r="IJ52" s="1493"/>
      <c r="IK52" s="1493"/>
      <c r="IL52" s="1493"/>
      <c r="IM52" s="1493"/>
      <c r="IN52" s="1493"/>
      <c r="IO52" s="1493"/>
      <c r="IP52" s="1493"/>
      <c r="IQ52" s="1493"/>
      <c r="IR52" s="1493"/>
      <c r="IS52" s="1493"/>
      <c r="IT52" s="1493"/>
      <c r="IU52" s="1493"/>
      <c r="IV52" s="1493"/>
    </row>
    <row r="53" spans="1:256">
      <c r="A53" s="1497">
        <f t="shared" si="9"/>
        <v>33</v>
      </c>
      <c r="B53" s="1494" t="s">
        <v>326</v>
      </c>
      <c r="C53" s="609">
        <f t="shared" si="10"/>
        <v>0</v>
      </c>
      <c r="D53" s="609">
        <f t="shared" si="11"/>
        <v>0</v>
      </c>
      <c r="E53" s="1494">
        <v>30</v>
      </c>
      <c r="F53" s="443">
        <v>93</v>
      </c>
      <c r="G53" s="1505">
        <f t="shared" si="6"/>
        <v>0.25479452054794521</v>
      </c>
      <c r="H53" s="609">
        <f t="shared" si="7"/>
        <v>0</v>
      </c>
      <c r="I53" s="609">
        <f t="shared" si="8"/>
        <v>0</v>
      </c>
      <c r="J53" s="1493"/>
      <c r="K53" s="1493"/>
      <c r="L53" s="1493"/>
      <c r="M53" s="1493"/>
      <c r="N53" s="1493"/>
      <c r="O53" s="1493"/>
      <c r="P53" s="1493"/>
      <c r="Q53" s="1493"/>
      <c r="R53" s="1493"/>
      <c r="S53" s="1493"/>
      <c r="T53" s="1493"/>
      <c r="U53" s="1493"/>
      <c r="V53" s="1493"/>
      <c r="W53" s="1493"/>
      <c r="X53" s="1493"/>
      <c r="Y53" s="1493"/>
      <c r="Z53" s="1493"/>
      <c r="AA53" s="1493"/>
      <c r="AB53" s="1493"/>
      <c r="AC53" s="1493"/>
      <c r="AD53" s="1493"/>
      <c r="AE53" s="1493"/>
      <c r="AF53" s="1493"/>
      <c r="AG53" s="1493"/>
      <c r="AH53" s="1493"/>
      <c r="AI53" s="1493"/>
      <c r="AJ53" s="1493"/>
      <c r="AK53" s="1493"/>
      <c r="AL53" s="1493"/>
      <c r="AM53" s="1493"/>
      <c r="AN53" s="1493"/>
      <c r="AO53" s="1493"/>
      <c r="AP53" s="1493"/>
      <c r="AQ53" s="1493"/>
      <c r="AR53" s="1493"/>
      <c r="AS53" s="1493"/>
      <c r="AT53" s="1493"/>
      <c r="AU53" s="1493"/>
      <c r="AV53" s="1493"/>
      <c r="AW53" s="1493"/>
      <c r="AX53" s="1493"/>
      <c r="AY53" s="1493"/>
      <c r="AZ53" s="1493"/>
      <c r="BA53" s="1493"/>
      <c r="BB53" s="1493"/>
      <c r="BC53" s="1493"/>
      <c r="BD53" s="1493"/>
      <c r="BE53" s="1493"/>
      <c r="BF53" s="1493"/>
      <c r="BG53" s="1493"/>
      <c r="BH53" s="1493"/>
      <c r="BI53" s="1493"/>
      <c r="BJ53" s="1493"/>
      <c r="BK53" s="1493"/>
      <c r="BL53" s="1493"/>
      <c r="BM53" s="1493"/>
      <c r="BN53" s="1493"/>
      <c r="BO53" s="1493"/>
      <c r="BP53" s="1493"/>
      <c r="BQ53" s="1493"/>
      <c r="BR53" s="1493"/>
      <c r="BS53" s="1493"/>
      <c r="BT53" s="1493"/>
      <c r="BU53" s="1493"/>
      <c r="BV53" s="1493"/>
      <c r="BW53" s="1493"/>
      <c r="BX53" s="1493"/>
      <c r="BY53" s="1493"/>
      <c r="BZ53" s="1493"/>
      <c r="CA53" s="1493"/>
      <c r="CB53" s="1493"/>
      <c r="CC53" s="1493"/>
      <c r="CD53" s="1493"/>
      <c r="CE53" s="1493"/>
      <c r="CF53" s="1493"/>
      <c r="CG53" s="1493"/>
      <c r="CH53" s="1493"/>
      <c r="CI53" s="1493"/>
      <c r="CJ53" s="1493"/>
      <c r="CK53" s="1493"/>
      <c r="CL53" s="1493"/>
      <c r="CM53" s="1493"/>
      <c r="CN53" s="1493"/>
      <c r="CO53" s="1493"/>
      <c r="CP53" s="1493"/>
      <c r="CQ53" s="1493"/>
      <c r="CR53" s="1493"/>
      <c r="CS53" s="1493"/>
      <c r="CT53" s="1493"/>
      <c r="CU53" s="1493"/>
      <c r="CV53" s="1493"/>
      <c r="CW53" s="1493"/>
      <c r="CX53" s="1493"/>
      <c r="CY53" s="1493"/>
      <c r="CZ53" s="1493"/>
      <c r="DA53" s="1493"/>
      <c r="DB53" s="1493"/>
      <c r="DC53" s="1493"/>
      <c r="DD53" s="1493"/>
      <c r="DE53" s="1493"/>
      <c r="DF53" s="1493"/>
      <c r="DG53" s="1493"/>
      <c r="DH53" s="1493"/>
      <c r="DI53" s="1493"/>
      <c r="DJ53" s="1493"/>
      <c r="DK53" s="1493"/>
      <c r="DL53" s="1493"/>
      <c r="DM53" s="1493"/>
      <c r="DN53" s="1493"/>
      <c r="DO53" s="1493"/>
      <c r="DP53" s="1493"/>
      <c r="DQ53" s="1493"/>
      <c r="DR53" s="1493"/>
      <c r="DS53" s="1493"/>
      <c r="DT53" s="1493"/>
      <c r="DU53" s="1493"/>
      <c r="DV53" s="1493"/>
      <c r="DW53" s="1493"/>
      <c r="DX53" s="1493"/>
      <c r="DY53" s="1493"/>
      <c r="DZ53" s="1493"/>
      <c r="EA53" s="1493"/>
      <c r="EB53" s="1493"/>
      <c r="EC53" s="1493"/>
      <c r="ED53" s="1493"/>
      <c r="EE53" s="1493"/>
      <c r="EF53" s="1493"/>
      <c r="EG53" s="1493"/>
      <c r="EH53" s="1493"/>
      <c r="EI53" s="1493"/>
      <c r="EJ53" s="1493"/>
      <c r="EK53" s="1493"/>
      <c r="EL53" s="1493"/>
      <c r="EM53" s="1493"/>
      <c r="EN53" s="1493"/>
      <c r="EO53" s="1493"/>
      <c r="EP53" s="1493"/>
      <c r="EQ53" s="1493"/>
      <c r="ER53" s="1493"/>
      <c r="ES53" s="1493"/>
      <c r="ET53" s="1493"/>
      <c r="EU53" s="1493"/>
      <c r="EV53" s="1493"/>
      <c r="EW53" s="1493"/>
      <c r="EX53" s="1493"/>
      <c r="EY53" s="1493"/>
      <c r="EZ53" s="1493"/>
      <c r="FA53" s="1493"/>
      <c r="FB53" s="1493"/>
      <c r="FC53" s="1493"/>
      <c r="FD53" s="1493"/>
      <c r="FE53" s="1493"/>
      <c r="FF53" s="1493"/>
      <c r="FG53" s="1493"/>
      <c r="FH53" s="1493"/>
      <c r="FI53" s="1493"/>
      <c r="FJ53" s="1493"/>
      <c r="FK53" s="1493"/>
      <c r="FL53" s="1493"/>
      <c r="FM53" s="1493"/>
      <c r="FN53" s="1493"/>
      <c r="FO53" s="1493"/>
      <c r="FP53" s="1493"/>
      <c r="FQ53" s="1493"/>
      <c r="FR53" s="1493"/>
      <c r="FS53" s="1493"/>
      <c r="FT53" s="1493"/>
      <c r="FU53" s="1493"/>
      <c r="FV53" s="1493"/>
      <c r="FW53" s="1493"/>
      <c r="FX53" s="1493"/>
      <c r="FY53" s="1493"/>
      <c r="FZ53" s="1493"/>
      <c r="GA53" s="1493"/>
      <c r="GB53" s="1493"/>
      <c r="GC53" s="1493"/>
      <c r="GD53" s="1493"/>
      <c r="GE53" s="1493"/>
      <c r="GF53" s="1493"/>
      <c r="GG53" s="1493"/>
      <c r="GH53" s="1493"/>
      <c r="GI53" s="1493"/>
      <c r="GJ53" s="1493"/>
      <c r="GK53" s="1493"/>
      <c r="GL53" s="1493"/>
      <c r="GM53" s="1493"/>
      <c r="GN53" s="1493"/>
      <c r="GO53" s="1493"/>
      <c r="GP53" s="1493"/>
      <c r="GQ53" s="1493"/>
      <c r="GR53" s="1493"/>
      <c r="GS53" s="1493"/>
      <c r="GT53" s="1493"/>
      <c r="GU53" s="1493"/>
      <c r="GV53" s="1493"/>
      <c r="GW53" s="1493"/>
      <c r="GX53" s="1493"/>
      <c r="GY53" s="1493"/>
      <c r="GZ53" s="1493"/>
      <c r="HA53" s="1493"/>
      <c r="HB53" s="1493"/>
      <c r="HC53" s="1493"/>
      <c r="HD53" s="1493"/>
      <c r="HE53" s="1493"/>
      <c r="HF53" s="1493"/>
      <c r="HG53" s="1493"/>
      <c r="HH53" s="1493"/>
      <c r="HI53" s="1493"/>
      <c r="HJ53" s="1493"/>
      <c r="HK53" s="1493"/>
      <c r="HL53" s="1493"/>
      <c r="HM53" s="1493"/>
      <c r="HN53" s="1493"/>
      <c r="HO53" s="1493"/>
      <c r="HP53" s="1493"/>
      <c r="HQ53" s="1493"/>
      <c r="HR53" s="1493"/>
      <c r="HS53" s="1493"/>
      <c r="HT53" s="1493"/>
      <c r="HU53" s="1493"/>
      <c r="HV53" s="1493"/>
      <c r="HW53" s="1493"/>
      <c r="HX53" s="1493"/>
      <c r="HY53" s="1493"/>
      <c r="HZ53" s="1493"/>
      <c r="IA53" s="1493"/>
      <c r="IB53" s="1493"/>
      <c r="IC53" s="1493"/>
      <c r="ID53" s="1493"/>
      <c r="IE53" s="1493"/>
      <c r="IF53" s="1493"/>
      <c r="IG53" s="1493"/>
      <c r="IH53" s="1493"/>
      <c r="II53" s="1493"/>
      <c r="IJ53" s="1493"/>
      <c r="IK53" s="1493"/>
      <c r="IL53" s="1493"/>
      <c r="IM53" s="1493"/>
      <c r="IN53" s="1493"/>
      <c r="IO53" s="1493"/>
      <c r="IP53" s="1493"/>
      <c r="IQ53" s="1493"/>
      <c r="IR53" s="1493"/>
      <c r="IS53" s="1493"/>
      <c r="IT53" s="1493"/>
      <c r="IU53" s="1493"/>
      <c r="IV53" s="1493"/>
    </row>
    <row r="54" spans="1:256">
      <c r="A54" s="1497">
        <f t="shared" si="9"/>
        <v>34</v>
      </c>
      <c r="B54" s="1494" t="s">
        <v>513</v>
      </c>
      <c r="C54" s="609">
        <f t="shared" si="10"/>
        <v>0</v>
      </c>
      <c r="D54" s="609">
        <f t="shared" si="11"/>
        <v>0</v>
      </c>
      <c r="E54" s="1494">
        <v>31</v>
      </c>
      <c r="F54" s="443">
        <v>62</v>
      </c>
      <c r="G54" s="1505">
        <f t="shared" si="6"/>
        <v>0.16986301369863013</v>
      </c>
      <c r="H54" s="609">
        <f t="shared" si="7"/>
        <v>0</v>
      </c>
      <c r="I54" s="609">
        <f t="shared" si="8"/>
        <v>0</v>
      </c>
      <c r="J54" s="1493"/>
      <c r="K54" s="1493"/>
      <c r="L54" s="1493"/>
      <c r="M54" s="1493"/>
      <c r="N54" s="1493"/>
      <c r="O54" s="1493"/>
      <c r="P54" s="1493"/>
      <c r="Q54" s="1493"/>
      <c r="R54" s="1493"/>
      <c r="S54" s="1493"/>
      <c r="T54" s="1493"/>
      <c r="U54" s="1493"/>
      <c r="V54" s="1493"/>
      <c r="W54" s="1493"/>
      <c r="X54" s="1493"/>
      <c r="Y54" s="1493"/>
      <c r="Z54" s="1493"/>
      <c r="AA54" s="1493"/>
      <c r="AB54" s="1493"/>
      <c r="AC54" s="1493"/>
      <c r="AD54" s="1493"/>
      <c r="AE54" s="1493"/>
      <c r="AF54" s="1493"/>
      <c r="AG54" s="1493"/>
      <c r="AH54" s="1493"/>
      <c r="AI54" s="1493"/>
      <c r="AJ54" s="1493"/>
      <c r="AK54" s="1493"/>
      <c r="AL54" s="1493"/>
      <c r="AM54" s="1493"/>
      <c r="AN54" s="1493"/>
      <c r="AO54" s="1493"/>
      <c r="AP54" s="1493"/>
      <c r="AQ54" s="1493"/>
      <c r="AR54" s="1493"/>
      <c r="AS54" s="1493"/>
      <c r="AT54" s="1493"/>
      <c r="AU54" s="1493"/>
      <c r="AV54" s="1493"/>
      <c r="AW54" s="1493"/>
      <c r="AX54" s="1493"/>
      <c r="AY54" s="1493"/>
      <c r="AZ54" s="1493"/>
      <c r="BA54" s="1493"/>
      <c r="BB54" s="1493"/>
      <c r="BC54" s="1493"/>
      <c r="BD54" s="1493"/>
      <c r="BE54" s="1493"/>
      <c r="BF54" s="1493"/>
      <c r="BG54" s="1493"/>
      <c r="BH54" s="1493"/>
      <c r="BI54" s="1493"/>
      <c r="BJ54" s="1493"/>
      <c r="BK54" s="1493"/>
      <c r="BL54" s="1493"/>
      <c r="BM54" s="1493"/>
      <c r="BN54" s="1493"/>
      <c r="BO54" s="1493"/>
      <c r="BP54" s="1493"/>
      <c r="BQ54" s="1493"/>
      <c r="BR54" s="1493"/>
      <c r="BS54" s="1493"/>
      <c r="BT54" s="1493"/>
      <c r="BU54" s="1493"/>
      <c r="BV54" s="1493"/>
      <c r="BW54" s="1493"/>
      <c r="BX54" s="1493"/>
      <c r="BY54" s="1493"/>
      <c r="BZ54" s="1493"/>
      <c r="CA54" s="1493"/>
      <c r="CB54" s="1493"/>
      <c r="CC54" s="1493"/>
      <c r="CD54" s="1493"/>
      <c r="CE54" s="1493"/>
      <c r="CF54" s="1493"/>
      <c r="CG54" s="1493"/>
      <c r="CH54" s="1493"/>
      <c r="CI54" s="1493"/>
      <c r="CJ54" s="1493"/>
      <c r="CK54" s="1493"/>
      <c r="CL54" s="1493"/>
      <c r="CM54" s="1493"/>
      <c r="CN54" s="1493"/>
      <c r="CO54" s="1493"/>
      <c r="CP54" s="1493"/>
      <c r="CQ54" s="1493"/>
      <c r="CR54" s="1493"/>
      <c r="CS54" s="1493"/>
      <c r="CT54" s="1493"/>
      <c r="CU54" s="1493"/>
      <c r="CV54" s="1493"/>
      <c r="CW54" s="1493"/>
      <c r="CX54" s="1493"/>
      <c r="CY54" s="1493"/>
      <c r="CZ54" s="1493"/>
      <c r="DA54" s="1493"/>
      <c r="DB54" s="1493"/>
      <c r="DC54" s="1493"/>
      <c r="DD54" s="1493"/>
      <c r="DE54" s="1493"/>
      <c r="DF54" s="1493"/>
      <c r="DG54" s="1493"/>
      <c r="DH54" s="1493"/>
      <c r="DI54" s="1493"/>
      <c r="DJ54" s="1493"/>
      <c r="DK54" s="1493"/>
      <c r="DL54" s="1493"/>
      <c r="DM54" s="1493"/>
      <c r="DN54" s="1493"/>
      <c r="DO54" s="1493"/>
      <c r="DP54" s="1493"/>
      <c r="DQ54" s="1493"/>
      <c r="DR54" s="1493"/>
      <c r="DS54" s="1493"/>
      <c r="DT54" s="1493"/>
      <c r="DU54" s="1493"/>
      <c r="DV54" s="1493"/>
      <c r="DW54" s="1493"/>
      <c r="DX54" s="1493"/>
      <c r="DY54" s="1493"/>
      <c r="DZ54" s="1493"/>
      <c r="EA54" s="1493"/>
      <c r="EB54" s="1493"/>
      <c r="EC54" s="1493"/>
      <c r="ED54" s="1493"/>
      <c r="EE54" s="1493"/>
      <c r="EF54" s="1493"/>
      <c r="EG54" s="1493"/>
      <c r="EH54" s="1493"/>
      <c r="EI54" s="1493"/>
      <c r="EJ54" s="1493"/>
      <c r="EK54" s="1493"/>
      <c r="EL54" s="1493"/>
      <c r="EM54" s="1493"/>
      <c r="EN54" s="1493"/>
      <c r="EO54" s="1493"/>
      <c r="EP54" s="1493"/>
      <c r="EQ54" s="1493"/>
      <c r="ER54" s="1493"/>
      <c r="ES54" s="1493"/>
      <c r="ET54" s="1493"/>
      <c r="EU54" s="1493"/>
      <c r="EV54" s="1493"/>
      <c r="EW54" s="1493"/>
      <c r="EX54" s="1493"/>
      <c r="EY54" s="1493"/>
      <c r="EZ54" s="1493"/>
      <c r="FA54" s="1493"/>
      <c r="FB54" s="1493"/>
      <c r="FC54" s="1493"/>
      <c r="FD54" s="1493"/>
      <c r="FE54" s="1493"/>
      <c r="FF54" s="1493"/>
      <c r="FG54" s="1493"/>
      <c r="FH54" s="1493"/>
      <c r="FI54" s="1493"/>
      <c r="FJ54" s="1493"/>
      <c r="FK54" s="1493"/>
      <c r="FL54" s="1493"/>
      <c r="FM54" s="1493"/>
      <c r="FN54" s="1493"/>
      <c r="FO54" s="1493"/>
      <c r="FP54" s="1493"/>
      <c r="FQ54" s="1493"/>
      <c r="FR54" s="1493"/>
      <c r="FS54" s="1493"/>
      <c r="FT54" s="1493"/>
      <c r="FU54" s="1493"/>
      <c r="FV54" s="1493"/>
      <c r="FW54" s="1493"/>
      <c r="FX54" s="1493"/>
      <c r="FY54" s="1493"/>
      <c r="FZ54" s="1493"/>
      <c r="GA54" s="1493"/>
      <c r="GB54" s="1493"/>
      <c r="GC54" s="1493"/>
      <c r="GD54" s="1493"/>
      <c r="GE54" s="1493"/>
      <c r="GF54" s="1493"/>
      <c r="GG54" s="1493"/>
      <c r="GH54" s="1493"/>
      <c r="GI54" s="1493"/>
      <c r="GJ54" s="1493"/>
      <c r="GK54" s="1493"/>
      <c r="GL54" s="1493"/>
      <c r="GM54" s="1493"/>
      <c r="GN54" s="1493"/>
      <c r="GO54" s="1493"/>
      <c r="GP54" s="1493"/>
      <c r="GQ54" s="1493"/>
      <c r="GR54" s="1493"/>
      <c r="GS54" s="1493"/>
      <c r="GT54" s="1493"/>
      <c r="GU54" s="1493"/>
      <c r="GV54" s="1493"/>
      <c r="GW54" s="1493"/>
      <c r="GX54" s="1493"/>
      <c r="GY54" s="1493"/>
      <c r="GZ54" s="1493"/>
      <c r="HA54" s="1493"/>
      <c r="HB54" s="1493"/>
      <c r="HC54" s="1493"/>
      <c r="HD54" s="1493"/>
      <c r="HE54" s="1493"/>
      <c r="HF54" s="1493"/>
      <c r="HG54" s="1493"/>
      <c r="HH54" s="1493"/>
      <c r="HI54" s="1493"/>
      <c r="HJ54" s="1493"/>
      <c r="HK54" s="1493"/>
      <c r="HL54" s="1493"/>
      <c r="HM54" s="1493"/>
      <c r="HN54" s="1493"/>
      <c r="HO54" s="1493"/>
      <c r="HP54" s="1493"/>
      <c r="HQ54" s="1493"/>
      <c r="HR54" s="1493"/>
      <c r="HS54" s="1493"/>
      <c r="HT54" s="1493"/>
      <c r="HU54" s="1493"/>
      <c r="HV54" s="1493"/>
      <c r="HW54" s="1493"/>
      <c r="HX54" s="1493"/>
      <c r="HY54" s="1493"/>
      <c r="HZ54" s="1493"/>
      <c r="IA54" s="1493"/>
      <c r="IB54" s="1493"/>
      <c r="IC54" s="1493"/>
      <c r="ID54" s="1493"/>
      <c r="IE54" s="1493"/>
      <c r="IF54" s="1493"/>
      <c r="IG54" s="1493"/>
      <c r="IH54" s="1493"/>
      <c r="II54" s="1493"/>
      <c r="IJ54" s="1493"/>
      <c r="IK54" s="1493"/>
      <c r="IL54" s="1493"/>
      <c r="IM54" s="1493"/>
      <c r="IN54" s="1493"/>
      <c r="IO54" s="1493"/>
      <c r="IP54" s="1493"/>
      <c r="IQ54" s="1493"/>
      <c r="IR54" s="1493"/>
      <c r="IS54" s="1493"/>
      <c r="IT54" s="1493"/>
      <c r="IU54" s="1493"/>
      <c r="IV54" s="1493"/>
    </row>
    <row r="55" spans="1:256">
      <c r="A55" s="1497">
        <f t="shared" si="9"/>
        <v>35</v>
      </c>
      <c r="B55" s="1494" t="s">
        <v>514</v>
      </c>
      <c r="C55" s="609">
        <f t="shared" si="10"/>
        <v>0</v>
      </c>
      <c r="D55" s="609">
        <f t="shared" si="11"/>
        <v>0</v>
      </c>
      <c r="E55" s="1494">
        <v>30</v>
      </c>
      <c r="F55" s="443">
        <v>32</v>
      </c>
      <c r="G55" s="1505">
        <f t="shared" si="6"/>
        <v>8.7671232876712329E-2</v>
      </c>
      <c r="H55" s="609">
        <f t="shared" si="7"/>
        <v>0</v>
      </c>
      <c r="I55" s="609">
        <f t="shared" si="8"/>
        <v>0</v>
      </c>
      <c r="J55" s="1493"/>
      <c r="K55" s="1493"/>
      <c r="L55" s="1493"/>
      <c r="M55" s="1493"/>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493"/>
      <c r="AM55" s="1493"/>
      <c r="AN55" s="1493"/>
      <c r="AO55" s="1493"/>
      <c r="AP55" s="1493"/>
      <c r="AQ55" s="1493"/>
      <c r="AR55" s="1493"/>
      <c r="AS55" s="1493"/>
      <c r="AT55" s="1493"/>
      <c r="AU55" s="1493"/>
      <c r="AV55" s="1493"/>
      <c r="AW55" s="1493"/>
      <c r="AX55" s="1493"/>
      <c r="AY55" s="1493"/>
      <c r="AZ55" s="1493"/>
      <c r="BA55" s="1493"/>
      <c r="BB55" s="1493"/>
      <c r="BC55" s="1493"/>
      <c r="BD55" s="1493"/>
      <c r="BE55" s="1493"/>
      <c r="BF55" s="1493"/>
      <c r="BG55" s="1493"/>
      <c r="BH55" s="1493"/>
      <c r="BI55" s="1493"/>
      <c r="BJ55" s="1493"/>
      <c r="BK55" s="1493"/>
      <c r="BL55" s="1493"/>
      <c r="BM55" s="1493"/>
      <c r="BN55" s="1493"/>
      <c r="BO55" s="1493"/>
      <c r="BP55" s="1493"/>
      <c r="BQ55" s="1493"/>
      <c r="BR55" s="1493"/>
      <c r="BS55" s="1493"/>
      <c r="BT55" s="1493"/>
      <c r="BU55" s="1493"/>
      <c r="BV55" s="1493"/>
      <c r="BW55" s="1493"/>
      <c r="BX55" s="1493"/>
      <c r="BY55" s="1493"/>
      <c r="BZ55" s="1493"/>
      <c r="CA55" s="1493"/>
      <c r="CB55" s="1493"/>
      <c r="CC55" s="1493"/>
      <c r="CD55" s="1493"/>
      <c r="CE55" s="1493"/>
      <c r="CF55" s="1493"/>
      <c r="CG55" s="1493"/>
      <c r="CH55" s="1493"/>
      <c r="CI55" s="1493"/>
      <c r="CJ55" s="1493"/>
      <c r="CK55" s="1493"/>
      <c r="CL55" s="1493"/>
      <c r="CM55" s="1493"/>
      <c r="CN55" s="1493"/>
      <c r="CO55" s="1493"/>
      <c r="CP55" s="1493"/>
      <c r="CQ55" s="1493"/>
      <c r="CR55" s="1493"/>
      <c r="CS55" s="1493"/>
      <c r="CT55" s="1493"/>
      <c r="CU55" s="1493"/>
      <c r="CV55" s="1493"/>
      <c r="CW55" s="1493"/>
      <c r="CX55" s="1493"/>
      <c r="CY55" s="1493"/>
      <c r="CZ55" s="1493"/>
      <c r="DA55" s="1493"/>
      <c r="DB55" s="1493"/>
      <c r="DC55" s="1493"/>
      <c r="DD55" s="1493"/>
      <c r="DE55" s="1493"/>
      <c r="DF55" s="1493"/>
      <c r="DG55" s="1493"/>
      <c r="DH55" s="1493"/>
      <c r="DI55" s="1493"/>
      <c r="DJ55" s="1493"/>
      <c r="DK55" s="1493"/>
      <c r="DL55" s="1493"/>
      <c r="DM55" s="1493"/>
      <c r="DN55" s="1493"/>
      <c r="DO55" s="1493"/>
      <c r="DP55" s="1493"/>
      <c r="DQ55" s="1493"/>
      <c r="DR55" s="1493"/>
      <c r="DS55" s="1493"/>
      <c r="DT55" s="1493"/>
      <c r="DU55" s="1493"/>
      <c r="DV55" s="1493"/>
      <c r="DW55" s="1493"/>
      <c r="DX55" s="1493"/>
      <c r="DY55" s="1493"/>
      <c r="DZ55" s="1493"/>
      <c r="EA55" s="1493"/>
      <c r="EB55" s="1493"/>
      <c r="EC55" s="1493"/>
      <c r="ED55" s="1493"/>
      <c r="EE55" s="1493"/>
      <c r="EF55" s="1493"/>
      <c r="EG55" s="1493"/>
      <c r="EH55" s="1493"/>
      <c r="EI55" s="1493"/>
      <c r="EJ55" s="1493"/>
      <c r="EK55" s="1493"/>
      <c r="EL55" s="1493"/>
      <c r="EM55" s="1493"/>
      <c r="EN55" s="1493"/>
      <c r="EO55" s="1493"/>
      <c r="EP55" s="1493"/>
      <c r="EQ55" s="1493"/>
      <c r="ER55" s="1493"/>
      <c r="ES55" s="1493"/>
      <c r="ET55" s="1493"/>
      <c r="EU55" s="1493"/>
      <c r="EV55" s="1493"/>
      <c r="EW55" s="1493"/>
      <c r="EX55" s="1493"/>
      <c r="EY55" s="1493"/>
      <c r="EZ55" s="1493"/>
      <c r="FA55" s="1493"/>
      <c r="FB55" s="1493"/>
      <c r="FC55" s="1493"/>
      <c r="FD55" s="1493"/>
      <c r="FE55" s="1493"/>
      <c r="FF55" s="1493"/>
      <c r="FG55" s="1493"/>
      <c r="FH55" s="1493"/>
      <c r="FI55" s="1493"/>
      <c r="FJ55" s="1493"/>
      <c r="FK55" s="1493"/>
      <c r="FL55" s="1493"/>
      <c r="FM55" s="1493"/>
      <c r="FN55" s="1493"/>
      <c r="FO55" s="1493"/>
      <c r="FP55" s="1493"/>
      <c r="FQ55" s="1493"/>
      <c r="FR55" s="1493"/>
      <c r="FS55" s="1493"/>
      <c r="FT55" s="1493"/>
      <c r="FU55" s="1493"/>
      <c r="FV55" s="1493"/>
      <c r="FW55" s="1493"/>
      <c r="FX55" s="1493"/>
      <c r="FY55" s="1493"/>
      <c r="FZ55" s="1493"/>
      <c r="GA55" s="1493"/>
      <c r="GB55" s="1493"/>
      <c r="GC55" s="1493"/>
      <c r="GD55" s="1493"/>
      <c r="GE55" s="1493"/>
      <c r="GF55" s="1493"/>
      <c r="GG55" s="1493"/>
      <c r="GH55" s="1493"/>
      <c r="GI55" s="1493"/>
      <c r="GJ55" s="1493"/>
      <c r="GK55" s="1493"/>
      <c r="GL55" s="1493"/>
      <c r="GM55" s="1493"/>
      <c r="GN55" s="1493"/>
      <c r="GO55" s="1493"/>
      <c r="GP55" s="1493"/>
      <c r="GQ55" s="1493"/>
      <c r="GR55" s="1493"/>
      <c r="GS55" s="1493"/>
      <c r="GT55" s="1493"/>
      <c r="GU55" s="1493"/>
      <c r="GV55" s="1493"/>
      <c r="GW55" s="1493"/>
      <c r="GX55" s="1493"/>
      <c r="GY55" s="1493"/>
      <c r="GZ55" s="1493"/>
      <c r="HA55" s="1493"/>
      <c r="HB55" s="1493"/>
      <c r="HC55" s="1493"/>
      <c r="HD55" s="1493"/>
      <c r="HE55" s="1493"/>
      <c r="HF55" s="1493"/>
      <c r="HG55" s="1493"/>
      <c r="HH55" s="1493"/>
      <c r="HI55" s="1493"/>
      <c r="HJ55" s="1493"/>
      <c r="HK55" s="1493"/>
      <c r="HL55" s="1493"/>
      <c r="HM55" s="1493"/>
      <c r="HN55" s="1493"/>
      <c r="HO55" s="1493"/>
      <c r="HP55" s="1493"/>
      <c r="HQ55" s="1493"/>
      <c r="HR55" s="1493"/>
      <c r="HS55" s="1493"/>
      <c r="HT55" s="1493"/>
      <c r="HU55" s="1493"/>
      <c r="HV55" s="1493"/>
      <c r="HW55" s="1493"/>
      <c r="HX55" s="1493"/>
      <c r="HY55" s="1493"/>
      <c r="HZ55" s="1493"/>
      <c r="IA55" s="1493"/>
      <c r="IB55" s="1493"/>
      <c r="IC55" s="1493"/>
      <c r="ID55" s="1493"/>
      <c r="IE55" s="1493"/>
      <c r="IF55" s="1493"/>
      <c r="IG55" s="1493"/>
      <c r="IH55" s="1493"/>
      <c r="II55" s="1493"/>
      <c r="IJ55" s="1493"/>
      <c r="IK55" s="1493"/>
      <c r="IL55" s="1493"/>
      <c r="IM55" s="1493"/>
      <c r="IN55" s="1493"/>
      <c r="IO55" s="1493"/>
      <c r="IP55" s="1493"/>
      <c r="IQ55" s="1493"/>
      <c r="IR55" s="1493"/>
      <c r="IS55" s="1493"/>
      <c r="IT55" s="1493"/>
      <c r="IU55" s="1493"/>
      <c r="IV55" s="1493"/>
    </row>
    <row r="56" spans="1:256">
      <c r="A56" s="1497">
        <f t="shared" si="9"/>
        <v>36</v>
      </c>
      <c r="B56" s="1494" t="s">
        <v>325</v>
      </c>
      <c r="C56" s="609">
        <f t="shared" si="10"/>
        <v>0</v>
      </c>
      <c r="D56" s="609">
        <f t="shared" si="11"/>
        <v>0</v>
      </c>
      <c r="E56" s="1494">
        <v>31</v>
      </c>
      <c r="F56" s="443">
        <f>F55-E56</f>
        <v>1</v>
      </c>
      <c r="G56" s="1505">
        <f t="shared" si="6"/>
        <v>2.7397260273972603E-3</v>
      </c>
      <c r="H56" s="609">
        <f t="shared" si="7"/>
        <v>0</v>
      </c>
      <c r="I56" s="609">
        <f t="shared" si="8"/>
        <v>0</v>
      </c>
      <c r="J56" s="1493"/>
      <c r="K56" s="1493"/>
      <c r="L56" s="1493"/>
      <c r="M56" s="1493"/>
      <c r="N56" s="1493"/>
      <c r="O56" s="1493"/>
      <c r="P56" s="1493"/>
      <c r="Q56" s="1493"/>
      <c r="R56" s="1493"/>
      <c r="S56" s="1493"/>
      <c r="T56" s="1493"/>
      <c r="U56" s="1493"/>
      <c r="V56" s="1493"/>
      <c r="W56" s="1493"/>
      <c r="X56" s="1493"/>
      <c r="Y56" s="1493"/>
      <c r="Z56" s="1493"/>
      <c r="AA56" s="1493"/>
      <c r="AB56" s="1493"/>
      <c r="AC56" s="1493"/>
      <c r="AD56" s="1493"/>
      <c r="AE56" s="1493"/>
      <c r="AF56" s="1493"/>
      <c r="AG56" s="1493"/>
      <c r="AH56" s="1493"/>
      <c r="AI56" s="1493"/>
      <c r="AJ56" s="1493"/>
      <c r="AK56" s="1493"/>
      <c r="AL56" s="1493"/>
      <c r="AM56" s="1493"/>
      <c r="AN56" s="1493"/>
      <c r="AO56" s="1493"/>
      <c r="AP56" s="1493"/>
      <c r="AQ56" s="1493"/>
      <c r="AR56" s="1493"/>
      <c r="AS56" s="1493"/>
      <c r="AT56" s="1493"/>
      <c r="AU56" s="1493"/>
      <c r="AV56" s="1493"/>
      <c r="AW56" s="1493"/>
      <c r="AX56" s="1493"/>
      <c r="AY56" s="1493"/>
      <c r="AZ56" s="1493"/>
      <c r="BA56" s="1493"/>
      <c r="BB56" s="1493"/>
      <c r="BC56" s="1493"/>
      <c r="BD56" s="1493"/>
      <c r="BE56" s="1493"/>
      <c r="BF56" s="1493"/>
      <c r="BG56" s="1493"/>
      <c r="BH56" s="1493"/>
      <c r="BI56" s="1493"/>
      <c r="BJ56" s="1493"/>
      <c r="BK56" s="1493"/>
      <c r="BL56" s="1493"/>
      <c r="BM56" s="1493"/>
      <c r="BN56" s="1493"/>
      <c r="BO56" s="1493"/>
      <c r="BP56" s="1493"/>
      <c r="BQ56" s="1493"/>
      <c r="BR56" s="1493"/>
      <c r="BS56" s="1493"/>
      <c r="BT56" s="1493"/>
      <c r="BU56" s="1493"/>
      <c r="BV56" s="1493"/>
      <c r="BW56" s="1493"/>
      <c r="BX56" s="1493"/>
      <c r="BY56" s="1493"/>
      <c r="BZ56" s="1493"/>
      <c r="CA56" s="1493"/>
      <c r="CB56" s="1493"/>
      <c r="CC56" s="1493"/>
      <c r="CD56" s="1493"/>
      <c r="CE56" s="1493"/>
      <c r="CF56" s="1493"/>
      <c r="CG56" s="1493"/>
      <c r="CH56" s="1493"/>
      <c r="CI56" s="1493"/>
      <c r="CJ56" s="1493"/>
      <c r="CK56" s="1493"/>
      <c r="CL56" s="1493"/>
      <c r="CM56" s="1493"/>
      <c r="CN56" s="1493"/>
      <c r="CO56" s="1493"/>
      <c r="CP56" s="1493"/>
      <c r="CQ56" s="1493"/>
      <c r="CR56" s="1493"/>
      <c r="CS56" s="1493"/>
      <c r="CT56" s="1493"/>
      <c r="CU56" s="1493"/>
      <c r="CV56" s="1493"/>
      <c r="CW56" s="1493"/>
      <c r="CX56" s="1493"/>
      <c r="CY56" s="1493"/>
      <c r="CZ56" s="1493"/>
      <c r="DA56" s="1493"/>
      <c r="DB56" s="1493"/>
      <c r="DC56" s="1493"/>
      <c r="DD56" s="1493"/>
      <c r="DE56" s="1493"/>
      <c r="DF56" s="1493"/>
      <c r="DG56" s="1493"/>
      <c r="DH56" s="1493"/>
      <c r="DI56" s="1493"/>
      <c r="DJ56" s="1493"/>
      <c r="DK56" s="1493"/>
      <c r="DL56" s="1493"/>
      <c r="DM56" s="1493"/>
      <c r="DN56" s="1493"/>
      <c r="DO56" s="1493"/>
      <c r="DP56" s="1493"/>
      <c r="DQ56" s="1493"/>
      <c r="DR56" s="1493"/>
      <c r="DS56" s="1493"/>
      <c r="DT56" s="1493"/>
      <c r="DU56" s="1493"/>
      <c r="DV56" s="1493"/>
      <c r="DW56" s="1493"/>
      <c r="DX56" s="1493"/>
      <c r="DY56" s="1493"/>
      <c r="DZ56" s="1493"/>
      <c r="EA56" s="1493"/>
      <c r="EB56" s="1493"/>
      <c r="EC56" s="1493"/>
      <c r="ED56" s="1493"/>
      <c r="EE56" s="1493"/>
      <c r="EF56" s="1493"/>
      <c r="EG56" s="1493"/>
      <c r="EH56" s="1493"/>
      <c r="EI56" s="1493"/>
      <c r="EJ56" s="1493"/>
      <c r="EK56" s="1493"/>
      <c r="EL56" s="1493"/>
      <c r="EM56" s="1493"/>
      <c r="EN56" s="1493"/>
      <c r="EO56" s="1493"/>
      <c r="EP56" s="1493"/>
      <c r="EQ56" s="1493"/>
      <c r="ER56" s="1493"/>
      <c r="ES56" s="1493"/>
      <c r="ET56" s="1493"/>
      <c r="EU56" s="1493"/>
      <c r="EV56" s="1493"/>
      <c r="EW56" s="1493"/>
      <c r="EX56" s="1493"/>
      <c r="EY56" s="1493"/>
      <c r="EZ56" s="1493"/>
      <c r="FA56" s="1493"/>
      <c r="FB56" s="1493"/>
      <c r="FC56" s="1493"/>
      <c r="FD56" s="1493"/>
      <c r="FE56" s="1493"/>
      <c r="FF56" s="1493"/>
      <c r="FG56" s="1493"/>
      <c r="FH56" s="1493"/>
      <c r="FI56" s="1493"/>
      <c r="FJ56" s="1493"/>
      <c r="FK56" s="1493"/>
      <c r="FL56" s="1493"/>
      <c r="FM56" s="1493"/>
      <c r="FN56" s="1493"/>
      <c r="FO56" s="1493"/>
      <c r="FP56" s="1493"/>
      <c r="FQ56" s="1493"/>
      <c r="FR56" s="1493"/>
      <c r="FS56" s="1493"/>
      <c r="FT56" s="1493"/>
      <c r="FU56" s="1493"/>
      <c r="FV56" s="1493"/>
      <c r="FW56" s="1493"/>
      <c r="FX56" s="1493"/>
      <c r="FY56" s="1493"/>
      <c r="FZ56" s="1493"/>
      <c r="GA56" s="1493"/>
      <c r="GB56" s="1493"/>
      <c r="GC56" s="1493"/>
      <c r="GD56" s="1493"/>
      <c r="GE56" s="1493"/>
      <c r="GF56" s="1493"/>
      <c r="GG56" s="1493"/>
      <c r="GH56" s="1493"/>
      <c r="GI56" s="1493"/>
      <c r="GJ56" s="1493"/>
      <c r="GK56" s="1493"/>
      <c r="GL56" s="1493"/>
      <c r="GM56" s="1493"/>
      <c r="GN56" s="1493"/>
      <c r="GO56" s="1493"/>
      <c r="GP56" s="1493"/>
      <c r="GQ56" s="1493"/>
      <c r="GR56" s="1493"/>
      <c r="GS56" s="1493"/>
      <c r="GT56" s="1493"/>
      <c r="GU56" s="1493"/>
      <c r="GV56" s="1493"/>
      <c r="GW56" s="1493"/>
      <c r="GX56" s="1493"/>
      <c r="GY56" s="1493"/>
      <c r="GZ56" s="1493"/>
      <c r="HA56" s="1493"/>
      <c r="HB56" s="1493"/>
      <c r="HC56" s="1493"/>
      <c r="HD56" s="1493"/>
      <c r="HE56" s="1493"/>
      <c r="HF56" s="1493"/>
      <c r="HG56" s="1493"/>
      <c r="HH56" s="1493"/>
      <c r="HI56" s="1493"/>
      <c r="HJ56" s="1493"/>
      <c r="HK56" s="1493"/>
      <c r="HL56" s="1493"/>
      <c r="HM56" s="1493"/>
      <c r="HN56" s="1493"/>
      <c r="HO56" s="1493"/>
      <c r="HP56" s="1493"/>
      <c r="HQ56" s="1493"/>
      <c r="HR56" s="1493"/>
      <c r="HS56" s="1493"/>
      <c r="HT56" s="1493"/>
      <c r="HU56" s="1493"/>
      <c r="HV56" s="1493"/>
      <c r="HW56" s="1493"/>
      <c r="HX56" s="1493"/>
      <c r="HY56" s="1493"/>
      <c r="HZ56" s="1493"/>
      <c r="IA56" s="1493"/>
      <c r="IB56" s="1493"/>
      <c r="IC56" s="1493"/>
      <c r="ID56" s="1493"/>
      <c r="IE56" s="1493"/>
      <c r="IF56" s="1493"/>
      <c r="IG56" s="1493"/>
      <c r="IH56" s="1493"/>
      <c r="II56" s="1493"/>
      <c r="IJ56" s="1493"/>
      <c r="IK56" s="1493"/>
      <c r="IL56" s="1493"/>
      <c r="IM56" s="1493"/>
      <c r="IN56" s="1493"/>
      <c r="IO56" s="1493"/>
      <c r="IP56" s="1493"/>
      <c r="IQ56" s="1493"/>
      <c r="IR56" s="1493"/>
      <c r="IS56" s="1493"/>
      <c r="IT56" s="1493"/>
      <c r="IU56" s="1493"/>
      <c r="IV56" s="1493"/>
    </row>
    <row r="57" spans="1:256">
      <c r="A57" s="1497"/>
      <c r="B57" s="1494"/>
      <c r="C57" s="1506"/>
      <c r="D57" s="1506"/>
      <c r="E57" s="1494"/>
      <c r="F57" s="1494"/>
      <c r="G57" s="1494"/>
      <c r="H57" s="1506"/>
      <c r="I57" s="1506"/>
      <c r="J57" s="1493"/>
      <c r="K57" s="1493"/>
      <c r="L57" s="1493"/>
      <c r="M57" s="1493"/>
      <c r="N57" s="1493"/>
      <c r="O57" s="1493"/>
      <c r="P57" s="1493"/>
      <c r="Q57" s="1493"/>
      <c r="R57" s="1493"/>
      <c r="S57" s="1493"/>
      <c r="T57" s="1493"/>
      <c r="U57" s="1493"/>
      <c r="V57" s="1493"/>
      <c r="W57" s="1493"/>
      <c r="X57" s="1493"/>
      <c r="Y57" s="1493"/>
      <c r="Z57" s="1493"/>
      <c r="AA57" s="1493"/>
      <c r="AB57" s="1493"/>
      <c r="AC57" s="1493"/>
      <c r="AD57" s="1493"/>
      <c r="AE57" s="1493"/>
      <c r="AF57" s="1493"/>
      <c r="AG57" s="1493"/>
      <c r="AH57" s="1493"/>
      <c r="AI57" s="1493"/>
      <c r="AJ57" s="1493"/>
      <c r="AK57" s="1493"/>
      <c r="AL57" s="1493"/>
      <c r="AM57" s="1493"/>
      <c r="AN57" s="1493"/>
      <c r="AO57" s="1493"/>
      <c r="AP57" s="1493"/>
      <c r="AQ57" s="1493"/>
      <c r="AR57" s="1493"/>
      <c r="AS57" s="1493"/>
      <c r="AT57" s="1493"/>
      <c r="AU57" s="1493"/>
      <c r="AV57" s="1493"/>
      <c r="AW57" s="1493"/>
      <c r="AX57" s="1493"/>
      <c r="AY57" s="1493"/>
      <c r="AZ57" s="1493"/>
      <c r="BA57" s="1493"/>
      <c r="BB57" s="1493"/>
      <c r="BC57" s="1493"/>
      <c r="BD57" s="1493"/>
      <c r="BE57" s="1493"/>
      <c r="BF57" s="1493"/>
      <c r="BG57" s="1493"/>
      <c r="BH57" s="1493"/>
      <c r="BI57" s="1493"/>
      <c r="BJ57" s="1493"/>
      <c r="BK57" s="1493"/>
      <c r="BL57" s="1493"/>
      <c r="BM57" s="1493"/>
      <c r="BN57" s="1493"/>
      <c r="BO57" s="1493"/>
      <c r="BP57" s="1493"/>
      <c r="BQ57" s="1493"/>
      <c r="BR57" s="1493"/>
      <c r="BS57" s="1493"/>
      <c r="BT57" s="1493"/>
      <c r="BU57" s="1493"/>
      <c r="BV57" s="1493"/>
      <c r="BW57" s="1493"/>
      <c r="BX57" s="1493"/>
      <c r="BY57" s="1493"/>
      <c r="BZ57" s="1493"/>
      <c r="CA57" s="1493"/>
      <c r="CB57" s="1493"/>
      <c r="CC57" s="1493"/>
      <c r="CD57" s="1493"/>
      <c r="CE57" s="1493"/>
      <c r="CF57" s="1493"/>
      <c r="CG57" s="1493"/>
      <c r="CH57" s="1493"/>
      <c r="CI57" s="1493"/>
      <c r="CJ57" s="1493"/>
      <c r="CK57" s="1493"/>
      <c r="CL57" s="1493"/>
      <c r="CM57" s="1493"/>
      <c r="CN57" s="1493"/>
      <c r="CO57" s="1493"/>
      <c r="CP57" s="1493"/>
      <c r="CQ57" s="1493"/>
      <c r="CR57" s="1493"/>
      <c r="CS57" s="1493"/>
      <c r="CT57" s="1493"/>
      <c r="CU57" s="1493"/>
      <c r="CV57" s="1493"/>
      <c r="CW57" s="1493"/>
      <c r="CX57" s="1493"/>
      <c r="CY57" s="1493"/>
      <c r="CZ57" s="1493"/>
      <c r="DA57" s="1493"/>
      <c r="DB57" s="1493"/>
      <c r="DC57" s="1493"/>
      <c r="DD57" s="1493"/>
      <c r="DE57" s="1493"/>
      <c r="DF57" s="1493"/>
      <c r="DG57" s="1493"/>
      <c r="DH57" s="1493"/>
      <c r="DI57" s="1493"/>
      <c r="DJ57" s="1493"/>
      <c r="DK57" s="1493"/>
      <c r="DL57" s="1493"/>
      <c r="DM57" s="1493"/>
      <c r="DN57" s="1493"/>
      <c r="DO57" s="1493"/>
      <c r="DP57" s="1493"/>
      <c r="DQ57" s="1493"/>
      <c r="DR57" s="1493"/>
      <c r="DS57" s="1493"/>
      <c r="DT57" s="1493"/>
      <c r="DU57" s="1493"/>
      <c r="DV57" s="1493"/>
      <c r="DW57" s="1493"/>
      <c r="DX57" s="1493"/>
      <c r="DY57" s="1493"/>
      <c r="DZ57" s="1493"/>
      <c r="EA57" s="1493"/>
      <c r="EB57" s="1493"/>
      <c r="EC57" s="1493"/>
      <c r="ED57" s="1493"/>
      <c r="EE57" s="1493"/>
      <c r="EF57" s="1493"/>
      <c r="EG57" s="1493"/>
      <c r="EH57" s="1493"/>
      <c r="EI57" s="1493"/>
      <c r="EJ57" s="1493"/>
      <c r="EK57" s="1493"/>
      <c r="EL57" s="1493"/>
      <c r="EM57" s="1493"/>
      <c r="EN57" s="1493"/>
      <c r="EO57" s="1493"/>
      <c r="EP57" s="1493"/>
      <c r="EQ57" s="1493"/>
      <c r="ER57" s="1493"/>
      <c r="ES57" s="1493"/>
      <c r="ET57" s="1493"/>
      <c r="EU57" s="1493"/>
      <c r="EV57" s="1493"/>
      <c r="EW57" s="1493"/>
      <c r="EX57" s="1493"/>
      <c r="EY57" s="1493"/>
      <c r="EZ57" s="1493"/>
      <c r="FA57" s="1493"/>
      <c r="FB57" s="1493"/>
      <c r="FC57" s="1493"/>
      <c r="FD57" s="1493"/>
      <c r="FE57" s="1493"/>
      <c r="FF57" s="1493"/>
      <c r="FG57" s="1493"/>
      <c r="FH57" s="1493"/>
      <c r="FI57" s="1493"/>
      <c r="FJ57" s="1493"/>
      <c r="FK57" s="1493"/>
      <c r="FL57" s="1493"/>
      <c r="FM57" s="1493"/>
      <c r="FN57" s="1493"/>
      <c r="FO57" s="1493"/>
      <c r="FP57" s="1493"/>
      <c r="FQ57" s="1493"/>
      <c r="FR57" s="1493"/>
      <c r="FS57" s="1493"/>
      <c r="FT57" s="1493"/>
      <c r="FU57" s="1493"/>
      <c r="FV57" s="1493"/>
      <c r="FW57" s="1493"/>
      <c r="FX57" s="1493"/>
      <c r="FY57" s="1493"/>
      <c r="FZ57" s="1493"/>
      <c r="GA57" s="1493"/>
      <c r="GB57" s="1493"/>
      <c r="GC57" s="1493"/>
      <c r="GD57" s="1493"/>
      <c r="GE57" s="1493"/>
      <c r="GF57" s="1493"/>
      <c r="GG57" s="1493"/>
      <c r="GH57" s="1493"/>
      <c r="GI57" s="1493"/>
      <c r="GJ57" s="1493"/>
      <c r="GK57" s="1493"/>
      <c r="GL57" s="1493"/>
      <c r="GM57" s="1493"/>
      <c r="GN57" s="1493"/>
      <c r="GO57" s="1493"/>
      <c r="GP57" s="1493"/>
      <c r="GQ57" s="1493"/>
      <c r="GR57" s="1493"/>
      <c r="GS57" s="1493"/>
      <c r="GT57" s="1493"/>
      <c r="GU57" s="1493"/>
      <c r="GV57" s="1493"/>
      <c r="GW57" s="1493"/>
      <c r="GX57" s="1493"/>
      <c r="GY57" s="1493"/>
      <c r="GZ57" s="1493"/>
      <c r="HA57" s="1493"/>
      <c r="HB57" s="1493"/>
      <c r="HC57" s="1493"/>
      <c r="HD57" s="1493"/>
      <c r="HE57" s="1493"/>
      <c r="HF57" s="1493"/>
      <c r="HG57" s="1493"/>
      <c r="HH57" s="1493"/>
      <c r="HI57" s="1493"/>
      <c r="HJ57" s="1493"/>
      <c r="HK57" s="1493"/>
      <c r="HL57" s="1493"/>
      <c r="HM57" s="1493"/>
      <c r="HN57" s="1493"/>
      <c r="HO57" s="1493"/>
      <c r="HP57" s="1493"/>
      <c r="HQ57" s="1493"/>
      <c r="HR57" s="1493"/>
      <c r="HS57" s="1493"/>
      <c r="HT57" s="1493"/>
      <c r="HU57" s="1493"/>
      <c r="HV57" s="1493"/>
      <c r="HW57" s="1493"/>
      <c r="HX57" s="1493"/>
      <c r="HY57" s="1493"/>
      <c r="HZ57" s="1493"/>
      <c r="IA57" s="1493"/>
      <c r="IB57" s="1493"/>
      <c r="IC57" s="1493"/>
      <c r="ID57" s="1493"/>
      <c r="IE57" s="1493"/>
      <c r="IF57" s="1493"/>
      <c r="IG57" s="1493"/>
      <c r="IH57" s="1493"/>
      <c r="II57" s="1493"/>
      <c r="IJ57" s="1493"/>
      <c r="IK57" s="1493"/>
      <c r="IL57" s="1493"/>
      <c r="IM57" s="1493"/>
      <c r="IN57" s="1493"/>
      <c r="IO57" s="1493"/>
      <c r="IP57" s="1493"/>
      <c r="IQ57" s="1493"/>
      <c r="IR57" s="1493"/>
      <c r="IS57" s="1493"/>
      <c r="IT57" s="1493"/>
      <c r="IU57" s="1493"/>
      <c r="IV57" s="1493"/>
    </row>
    <row r="58" spans="1:256">
      <c r="A58" s="1497">
        <f>+A56+1</f>
        <v>37</v>
      </c>
      <c r="B58" s="1494" t="s">
        <v>515</v>
      </c>
      <c r="C58" s="1506"/>
      <c r="D58" s="609">
        <f>+D56</f>
        <v>0</v>
      </c>
      <c r="E58" s="1494"/>
      <c r="F58" s="1494"/>
      <c r="G58" s="1494"/>
      <c r="H58" s="1506"/>
      <c r="I58" s="609">
        <f>+I56</f>
        <v>0</v>
      </c>
      <c r="J58" s="1493"/>
      <c r="K58" s="1493"/>
      <c r="L58" s="1493"/>
      <c r="M58" s="1493"/>
      <c r="N58" s="1493"/>
      <c r="O58" s="1493"/>
      <c r="P58" s="1493"/>
      <c r="Q58" s="1493"/>
      <c r="R58" s="1493"/>
      <c r="S58" s="1493"/>
      <c r="T58" s="1493"/>
      <c r="U58" s="1493"/>
      <c r="V58" s="1493"/>
      <c r="W58" s="1493"/>
      <c r="X58" s="1493"/>
      <c r="Y58" s="1493"/>
      <c r="Z58" s="1493"/>
      <c r="AA58" s="1493"/>
      <c r="AB58" s="1493"/>
      <c r="AC58" s="1493"/>
      <c r="AD58" s="1493"/>
      <c r="AE58" s="1493"/>
      <c r="AF58" s="1493"/>
      <c r="AG58" s="1493"/>
      <c r="AH58" s="1493"/>
      <c r="AI58" s="1493"/>
      <c r="AJ58" s="1493"/>
      <c r="AK58" s="1493"/>
      <c r="AL58" s="1493"/>
      <c r="AM58" s="1493"/>
      <c r="AN58" s="1493"/>
      <c r="AO58" s="1493"/>
      <c r="AP58" s="1493"/>
      <c r="AQ58" s="1493"/>
      <c r="AR58" s="1493"/>
      <c r="AS58" s="1493"/>
      <c r="AT58" s="1493"/>
      <c r="AU58" s="1493"/>
      <c r="AV58" s="1493"/>
      <c r="AW58" s="1493"/>
      <c r="AX58" s="1493"/>
      <c r="AY58" s="1493"/>
      <c r="AZ58" s="1493"/>
      <c r="BA58" s="1493"/>
      <c r="BB58" s="1493"/>
      <c r="BC58" s="1493"/>
      <c r="BD58" s="1493"/>
      <c r="BE58" s="1493"/>
      <c r="BF58" s="1493"/>
      <c r="BG58" s="1493"/>
      <c r="BH58" s="1493"/>
      <c r="BI58" s="1493"/>
      <c r="BJ58" s="1493"/>
      <c r="BK58" s="1493"/>
      <c r="BL58" s="1493"/>
      <c r="BM58" s="1493"/>
      <c r="BN58" s="1493"/>
      <c r="BO58" s="1493"/>
      <c r="BP58" s="1493"/>
      <c r="BQ58" s="1493"/>
      <c r="BR58" s="1493"/>
      <c r="BS58" s="1493"/>
      <c r="BT58" s="1493"/>
      <c r="BU58" s="1493"/>
      <c r="BV58" s="1493"/>
      <c r="BW58" s="1493"/>
      <c r="BX58" s="1493"/>
      <c r="BY58" s="1493"/>
      <c r="BZ58" s="1493"/>
      <c r="CA58" s="1493"/>
      <c r="CB58" s="1493"/>
      <c r="CC58" s="1493"/>
      <c r="CD58" s="1493"/>
      <c r="CE58" s="1493"/>
      <c r="CF58" s="1493"/>
      <c r="CG58" s="1493"/>
      <c r="CH58" s="1493"/>
      <c r="CI58" s="1493"/>
      <c r="CJ58" s="1493"/>
      <c r="CK58" s="1493"/>
      <c r="CL58" s="1493"/>
      <c r="CM58" s="1493"/>
      <c r="CN58" s="1493"/>
      <c r="CO58" s="1493"/>
      <c r="CP58" s="1493"/>
      <c r="CQ58" s="1493"/>
      <c r="CR58" s="1493"/>
      <c r="CS58" s="1493"/>
      <c r="CT58" s="1493"/>
      <c r="CU58" s="1493"/>
      <c r="CV58" s="1493"/>
      <c r="CW58" s="1493"/>
      <c r="CX58" s="1493"/>
      <c r="CY58" s="1493"/>
      <c r="CZ58" s="1493"/>
      <c r="DA58" s="1493"/>
      <c r="DB58" s="1493"/>
      <c r="DC58" s="1493"/>
      <c r="DD58" s="1493"/>
      <c r="DE58" s="1493"/>
      <c r="DF58" s="1493"/>
      <c r="DG58" s="1493"/>
      <c r="DH58" s="1493"/>
      <c r="DI58" s="1493"/>
      <c r="DJ58" s="1493"/>
      <c r="DK58" s="1493"/>
      <c r="DL58" s="1493"/>
      <c r="DM58" s="1493"/>
      <c r="DN58" s="1493"/>
      <c r="DO58" s="1493"/>
      <c r="DP58" s="1493"/>
      <c r="DQ58" s="1493"/>
      <c r="DR58" s="1493"/>
      <c r="DS58" s="1493"/>
      <c r="DT58" s="1493"/>
      <c r="DU58" s="1493"/>
      <c r="DV58" s="1493"/>
      <c r="DW58" s="1493"/>
      <c r="DX58" s="1493"/>
      <c r="DY58" s="1493"/>
      <c r="DZ58" s="1493"/>
      <c r="EA58" s="1493"/>
      <c r="EB58" s="1493"/>
      <c r="EC58" s="1493"/>
      <c r="ED58" s="1493"/>
      <c r="EE58" s="1493"/>
      <c r="EF58" s="1493"/>
      <c r="EG58" s="1493"/>
      <c r="EH58" s="1493"/>
      <c r="EI58" s="1493"/>
      <c r="EJ58" s="1493"/>
      <c r="EK58" s="1493"/>
      <c r="EL58" s="1493"/>
      <c r="EM58" s="1493"/>
      <c r="EN58" s="1493"/>
      <c r="EO58" s="1493"/>
      <c r="EP58" s="1493"/>
      <c r="EQ58" s="1493"/>
      <c r="ER58" s="1493"/>
      <c r="ES58" s="1493"/>
      <c r="ET58" s="1493"/>
      <c r="EU58" s="1493"/>
      <c r="EV58" s="1493"/>
      <c r="EW58" s="1493"/>
      <c r="EX58" s="1493"/>
      <c r="EY58" s="1493"/>
      <c r="EZ58" s="1493"/>
      <c r="FA58" s="1493"/>
      <c r="FB58" s="1493"/>
      <c r="FC58" s="1493"/>
      <c r="FD58" s="1493"/>
      <c r="FE58" s="1493"/>
      <c r="FF58" s="1493"/>
      <c r="FG58" s="1493"/>
      <c r="FH58" s="1493"/>
      <c r="FI58" s="1493"/>
      <c r="FJ58" s="1493"/>
      <c r="FK58" s="1493"/>
      <c r="FL58" s="1493"/>
      <c r="FM58" s="1493"/>
      <c r="FN58" s="1493"/>
      <c r="FO58" s="1493"/>
      <c r="FP58" s="1493"/>
      <c r="FQ58" s="1493"/>
      <c r="FR58" s="1493"/>
      <c r="FS58" s="1493"/>
      <c r="FT58" s="1493"/>
      <c r="FU58" s="1493"/>
      <c r="FV58" s="1493"/>
      <c r="FW58" s="1493"/>
      <c r="FX58" s="1493"/>
      <c r="FY58" s="1493"/>
      <c r="FZ58" s="1493"/>
      <c r="GA58" s="1493"/>
      <c r="GB58" s="1493"/>
      <c r="GC58" s="1493"/>
      <c r="GD58" s="1493"/>
      <c r="GE58" s="1493"/>
      <c r="GF58" s="1493"/>
      <c r="GG58" s="1493"/>
      <c r="GH58" s="1493"/>
      <c r="GI58" s="1493"/>
      <c r="GJ58" s="1493"/>
      <c r="GK58" s="1493"/>
      <c r="GL58" s="1493"/>
      <c r="GM58" s="1493"/>
      <c r="GN58" s="1493"/>
      <c r="GO58" s="1493"/>
      <c r="GP58" s="1493"/>
      <c r="GQ58" s="1493"/>
      <c r="GR58" s="1493"/>
      <c r="GS58" s="1493"/>
      <c r="GT58" s="1493"/>
      <c r="GU58" s="1493"/>
      <c r="GV58" s="1493"/>
      <c r="GW58" s="1493"/>
      <c r="GX58" s="1493"/>
      <c r="GY58" s="1493"/>
      <c r="GZ58" s="1493"/>
      <c r="HA58" s="1493"/>
      <c r="HB58" s="1493"/>
      <c r="HC58" s="1493"/>
      <c r="HD58" s="1493"/>
      <c r="HE58" s="1493"/>
      <c r="HF58" s="1493"/>
      <c r="HG58" s="1493"/>
      <c r="HH58" s="1493"/>
      <c r="HI58" s="1493"/>
      <c r="HJ58" s="1493"/>
      <c r="HK58" s="1493"/>
      <c r="HL58" s="1493"/>
      <c r="HM58" s="1493"/>
      <c r="HN58" s="1493"/>
      <c r="HO58" s="1493"/>
      <c r="HP58" s="1493"/>
      <c r="HQ58" s="1493"/>
      <c r="HR58" s="1493"/>
      <c r="HS58" s="1493"/>
      <c r="HT58" s="1493"/>
      <c r="HU58" s="1493"/>
      <c r="HV58" s="1493"/>
      <c r="HW58" s="1493"/>
      <c r="HX58" s="1493"/>
      <c r="HY58" s="1493"/>
      <c r="HZ58" s="1493"/>
      <c r="IA58" s="1493"/>
      <c r="IB58" s="1493"/>
      <c r="IC58" s="1493"/>
      <c r="ID58" s="1493"/>
      <c r="IE58" s="1493"/>
      <c r="IF58" s="1493"/>
      <c r="IG58" s="1493"/>
      <c r="IH58" s="1493"/>
      <c r="II58" s="1493"/>
      <c r="IJ58" s="1493"/>
      <c r="IK58" s="1493"/>
      <c r="IL58" s="1493"/>
      <c r="IM58" s="1493"/>
      <c r="IN58" s="1493"/>
      <c r="IO58" s="1493"/>
      <c r="IP58" s="1493"/>
      <c r="IQ58" s="1493"/>
      <c r="IR58" s="1493"/>
      <c r="IS58" s="1493"/>
      <c r="IT58" s="1493"/>
      <c r="IU58" s="1493"/>
      <c r="IV58" s="1493"/>
    </row>
    <row r="59" spans="1:256">
      <c r="A59" s="1497"/>
      <c r="B59" s="1507"/>
      <c r="C59" s="1507"/>
      <c r="D59" s="1507"/>
      <c r="E59" s="1507"/>
      <c r="F59" s="1507"/>
      <c r="G59" s="1507"/>
      <c r="H59" s="1507"/>
      <c r="I59" s="1507"/>
      <c r="J59" s="1493"/>
      <c r="K59" s="1493"/>
      <c r="L59" s="1493"/>
      <c r="M59" s="1493"/>
      <c r="N59" s="1493"/>
      <c r="O59" s="1493"/>
      <c r="P59" s="1493"/>
      <c r="Q59" s="1493"/>
      <c r="R59" s="1493"/>
      <c r="S59" s="1493"/>
      <c r="T59" s="1493"/>
      <c r="U59" s="1493"/>
      <c r="V59" s="1493"/>
      <c r="W59" s="1493"/>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493"/>
      <c r="AS59" s="1493"/>
      <c r="AT59" s="1493"/>
      <c r="AU59" s="1493"/>
      <c r="AV59" s="1493"/>
      <c r="AW59" s="1493"/>
      <c r="AX59" s="1493"/>
      <c r="AY59" s="1493"/>
      <c r="AZ59" s="1493"/>
      <c r="BA59" s="1493"/>
      <c r="BB59" s="1493"/>
      <c r="BC59" s="1493"/>
      <c r="BD59" s="1493"/>
      <c r="BE59" s="1493"/>
      <c r="BF59" s="1493"/>
      <c r="BG59" s="1493"/>
      <c r="BH59" s="1493"/>
      <c r="BI59" s="1493"/>
      <c r="BJ59" s="1493"/>
      <c r="BK59" s="1493"/>
      <c r="BL59" s="1493"/>
      <c r="BM59" s="1493"/>
      <c r="BN59" s="1493"/>
      <c r="BO59" s="1493"/>
      <c r="BP59" s="1493"/>
      <c r="BQ59" s="1493"/>
      <c r="BR59" s="1493"/>
      <c r="BS59" s="1493"/>
      <c r="BT59" s="1493"/>
      <c r="BU59" s="1493"/>
      <c r="BV59" s="1493"/>
      <c r="BW59" s="1493"/>
      <c r="BX59" s="1493"/>
      <c r="BY59" s="1493"/>
      <c r="BZ59" s="1493"/>
      <c r="CA59" s="1493"/>
      <c r="CB59" s="1493"/>
      <c r="CC59" s="1493"/>
      <c r="CD59" s="1493"/>
      <c r="CE59" s="1493"/>
      <c r="CF59" s="1493"/>
      <c r="CG59" s="1493"/>
      <c r="CH59" s="1493"/>
      <c r="CI59" s="1493"/>
      <c r="CJ59" s="1493"/>
      <c r="CK59" s="1493"/>
      <c r="CL59" s="1493"/>
      <c r="CM59" s="1493"/>
      <c r="CN59" s="1493"/>
      <c r="CO59" s="1493"/>
      <c r="CP59" s="1493"/>
      <c r="CQ59" s="1493"/>
      <c r="CR59" s="1493"/>
      <c r="CS59" s="1493"/>
      <c r="CT59" s="1493"/>
      <c r="CU59" s="1493"/>
      <c r="CV59" s="1493"/>
      <c r="CW59" s="1493"/>
      <c r="CX59" s="1493"/>
      <c r="CY59" s="1493"/>
      <c r="CZ59" s="1493"/>
      <c r="DA59" s="1493"/>
      <c r="DB59" s="1493"/>
      <c r="DC59" s="1493"/>
      <c r="DD59" s="1493"/>
      <c r="DE59" s="1493"/>
      <c r="DF59" s="1493"/>
      <c r="DG59" s="1493"/>
      <c r="DH59" s="1493"/>
      <c r="DI59" s="1493"/>
      <c r="DJ59" s="1493"/>
      <c r="DK59" s="1493"/>
      <c r="DL59" s="1493"/>
      <c r="DM59" s="1493"/>
      <c r="DN59" s="1493"/>
      <c r="DO59" s="1493"/>
      <c r="DP59" s="1493"/>
      <c r="DQ59" s="1493"/>
      <c r="DR59" s="1493"/>
      <c r="DS59" s="1493"/>
      <c r="DT59" s="1493"/>
      <c r="DU59" s="1493"/>
      <c r="DV59" s="1493"/>
      <c r="DW59" s="1493"/>
      <c r="DX59" s="1493"/>
      <c r="DY59" s="1493"/>
      <c r="DZ59" s="1493"/>
      <c r="EA59" s="1493"/>
      <c r="EB59" s="1493"/>
      <c r="EC59" s="1493"/>
      <c r="ED59" s="1493"/>
      <c r="EE59" s="1493"/>
      <c r="EF59" s="1493"/>
      <c r="EG59" s="1493"/>
      <c r="EH59" s="1493"/>
      <c r="EI59" s="1493"/>
      <c r="EJ59" s="1493"/>
      <c r="EK59" s="1493"/>
      <c r="EL59" s="1493"/>
      <c r="EM59" s="1493"/>
      <c r="EN59" s="1493"/>
      <c r="EO59" s="1493"/>
      <c r="EP59" s="1493"/>
      <c r="EQ59" s="1493"/>
      <c r="ER59" s="1493"/>
      <c r="ES59" s="1493"/>
      <c r="ET59" s="1493"/>
      <c r="EU59" s="1493"/>
      <c r="EV59" s="1493"/>
      <c r="EW59" s="1493"/>
      <c r="EX59" s="1493"/>
      <c r="EY59" s="1493"/>
      <c r="EZ59" s="1493"/>
      <c r="FA59" s="1493"/>
      <c r="FB59" s="1493"/>
      <c r="FC59" s="1493"/>
      <c r="FD59" s="1493"/>
      <c r="FE59" s="1493"/>
      <c r="FF59" s="1493"/>
      <c r="FG59" s="1493"/>
      <c r="FH59" s="1493"/>
      <c r="FI59" s="1493"/>
      <c r="FJ59" s="1493"/>
      <c r="FK59" s="1493"/>
      <c r="FL59" s="1493"/>
      <c r="FM59" s="1493"/>
      <c r="FN59" s="1493"/>
      <c r="FO59" s="1493"/>
      <c r="FP59" s="1493"/>
      <c r="FQ59" s="1493"/>
      <c r="FR59" s="1493"/>
      <c r="FS59" s="1493"/>
      <c r="FT59" s="1493"/>
      <c r="FU59" s="1493"/>
      <c r="FV59" s="1493"/>
      <c r="FW59" s="1493"/>
      <c r="FX59" s="1493"/>
      <c r="FY59" s="1493"/>
      <c r="FZ59" s="1493"/>
      <c r="GA59" s="1493"/>
      <c r="GB59" s="1493"/>
      <c r="GC59" s="1493"/>
      <c r="GD59" s="1493"/>
      <c r="GE59" s="1493"/>
      <c r="GF59" s="1493"/>
      <c r="GG59" s="1493"/>
      <c r="GH59" s="1493"/>
      <c r="GI59" s="1493"/>
      <c r="GJ59" s="1493"/>
      <c r="GK59" s="1493"/>
      <c r="GL59" s="1493"/>
      <c r="GM59" s="1493"/>
      <c r="GN59" s="1493"/>
      <c r="GO59" s="1493"/>
      <c r="GP59" s="1493"/>
      <c r="GQ59" s="1493"/>
      <c r="GR59" s="1493"/>
      <c r="GS59" s="1493"/>
      <c r="GT59" s="1493"/>
      <c r="GU59" s="1493"/>
      <c r="GV59" s="1493"/>
      <c r="GW59" s="1493"/>
      <c r="GX59" s="1493"/>
      <c r="GY59" s="1493"/>
      <c r="GZ59" s="1493"/>
      <c r="HA59" s="1493"/>
      <c r="HB59" s="1493"/>
      <c r="HC59" s="1493"/>
      <c r="HD59" s="1493"/>
      <c r="HE59" s="1493"/>
      <c r="HF59" s="1493"/>
      <c r="HG59" s="1493"/>
      <c r="HH59" s="1493"/>
      <c r="HI59" s="1493"/>
      <c r="HJ59" s="1493"/>
      <c r="HK59" s="1493"/>
      <c r="HL59" s="1493"/>
      <c r="HM59" s="1493"/>
      <c r="HN59" s="1493"/>
      <c r="HO59" s="1493"/>
      <c r="HP59" s="1493"/>
      <c r="HQ59" s="1493"/>
      <c r="HR59" s="1493"/>
      <c r="HS59" s="1493"/>
      <c r="HT59" s="1493"/>
      <c r="HU59" s="1493"/>
      <c r="HV59" s="1493"/>
      <c r="HW59" s="1493"/>
      <c r="HX59" s="1493"/>
      <c r="HY59" s="1493"/>
      <c r="HZ59" s="1493"/>
      <c r="IA59" s="1493"/>
      <c r="IB59" s="1493"/>
      <c r="IC59" s="1493"/>
      <c r="ID59" s="1493"/>
      <c r="IE59" s="1493"/>
      <c r="IF59" s="1493"/>
      <c r="IG59" s="1493"/>
      <c r="IH59" s="1493"/>
      <c r="II59" s="1493"/>
      <c r="IJ59" s="1493"/>
      <c r="IK59" s="1493"/>
      <c r="IL59" s="1493"/>
      <c r="IM59" s="1493"/>
      <c r="IN59" s="1493"/>
      <c r="IO59" s="1493"/>
      <c r="IP59" s="1493"/>
      <c r="IQ59" s="1493"/>
      <c r="IR59" s="1493"/>
      <c r="IS59" s="1493"/>
      <c r="IT59" s="1493"/>
      <c r="IU59" s="1493"/>
      <c r="IV59" s="1493"/>
    </row>
    <row r="60" spans="1:256" ht="13.5" thickBot="1">
      <c r="A60" s="1497">
        <f>+A58+1</f>
        <v>38</v>
      </c>
      <c r="B60" s="1508" t="str">
        <f>"Proration Adjustment - Line "&amp;A58&amp;" Col. "&amp;I42&amp;" less Col. "&amp;D42</f>
        <v>Proration Adjustment - Line 37 Col. (H) less Col. (C )</v>
      </c>
      <c r="C60" s="1508"/>
      <c r="D60" s="1508"/>
      <c r="E60" s="1508"/>
      <c r="F60" s="1508"/>
      <c r="G60" s="1508"/>
      <c r="H60" s="1508"/>
      <c r="I60" s="1509">
        <f>+I58-D58</f>
        <v>0</v>
      </c>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493"/>
      <c r="AS60" s="1493"/>
      <c r="AT60" s="1493"/>
      <c r="AU60" s="1493"/>
      <c r="AV60" s="1493"/>
      <c r="AW60" s="1493"/>
      <c r="AX60" s="1493"/>
      <c r="AY60" s="1493"/>
      <c r="AZ60" s="1493"/>
      <c r="BA60" s="1493"/>
      <c r="BB60" s="1493"/>
      <c r="BC60" s="1493"/>
      <c r="BD60" s="1493"/>
      <c r="BE60" s="1493"/>
      <c r="BF60" s="1493"/>
      <c r="BG60" s="1493"/>
      <c r="BH60" s="1493"/>
      <c r="BI60" s="1493"/>
      <c r="BJ60" s="1493"/>
      <c r="BK60" s="1493"/>
      <c r="BL60" s="1493"/>
      <c r="BM60" s="1493"/>
      <c r="BN60" s="1493"/>
      <c r="BO60" s="1493"/>
      <c r="BP60" s="1493"/>
      <c r="BQ60" s="1493"/>
      <c r="BR60" s="1493"/>
      <c r="BS60" s="1493"/>
      <c r="BT60" s="1493"/>
      <c r="BU60" s="1493"/>
      <c r="BV60" s="1493"/>
      <c r="BW60" s="1493"/>
      <c r="BX60" s="1493"/>
      <c r="BY60" s="1493"/>
      <c r="BZ60" s="1493"/>
      <c r="CA60" s="1493"/>
      <c r="CB60" s="1493"/>
      <c r="CC60" s="1493"/>
      <c r="CD60" s="1493"/>
      <c r="CE60" s="1493"/>
      <c r="CF60" s="1493"/>
      <c r="CG60" s="1493"/>
      <c r="CH60" s="1493"/>
      <c r="CI60" s="1493"/>
      <c r="CJ60" s="1493"/>
      <c r="CK60" s="1493"/>
      <c r="CL60" s="1493"/>
      <c r="CM60" s="1493"/>
      <c r="CN60" s="1493"/>
      <c r="CO60" s="1493"/>
      <c r="CP60" s="1493"/>
      <c r="CQ60" s="1493"/>
      <c r="CR60" s="1493"/>
      <c r="CS60" s="1493"/>
      <c r="CT60" s="1493"/>
      <c r="CU60" s="1493"/>
      <c r="CV60" s="1493"/>
      <c r="CW60" s="1493"/>
      <c r="CX60" s="1493"/>
      <c r="CY60" s="1493"/>
      <c r="CZ60" s="1493"/>
      <c r="DA60" s="1493"/>
      <c r="DB60" s="1493"/>
      <c r="DC60" s="1493"/>
      <c r="DD60" s="1493"/>
      <c r="DE60" s="1493"/>
      <c r="DF60" s="1493"/>
      <c r="DG60" s="1493"/>
      <c r="DH60" s="1493"/>
      <c r="DI60" s="1493"/>
      <c r="DJ60" s="1493"/>
      <c r="DK60" s="1493"/>
      <c r="DL60" s="1493"/>
      <c r="DM60" s="1493"/>
      <c r="DN60" s="1493"/>
      <c r="DO60" s="1493"/>
      <c r="DP60" s="1493"/>
      <c r="DQ60" s="1493"/>
      <c r="DR60" s="1493"/>
      <c r="DS60" s="1493"/>
      <c r="DT60" s="1493"/>
      <c r="DU60" s="1493"/>
      <c r="DV60" s="1493"/>
      <c r="DW60" s="1493"/>
      <c r="DX60" s="1493"/>
      <c r="DY60" s="1493"/>
      <c r="DZ60" s="1493"/>
      <c r="EA60" s="1493"/>
      <c r="EB60" s="1493"/>
      <c r="EC60" s="1493"/>
      <c r="ED60" s="1493"/>
      <c r="EE60" s="1493"/>
      <c r="EF60" s="1493"/>
      <c r="EG60" s="1493"/>
      <c r="EH60" s="1493"/>
      <c r="EI60" s="1493"/>
      <c r="EJ60" s="1493"/>
      <c r="EK60" s="1493"/>
      <c r="EL60" s="1493"/>
      <c r="EM60" s="1493"/>
      <c r="EN60" s="1493"/>
      <c r="EO60" s="1493"/>
      <c r="EP60" s="1493"/>
      <c r="EQ60" s="1493"/>
      <c r="ER60" s="1493"/>
      <c r="ES60" s="1493"/>
      <c r="ET60" s="1493"/>
      <c r="EU60" s="1493"/>
      <c r="EV60" s="1493"/>
      <c r="EW60" s="1493"/>
      <c r="EX60" s="1493"/>
      <c r="EY60" s="1493"/>
      <c r="EZ60" s="1493"/>
      <c r="FA60" s="1493"/>
      <c r="FB60" s="1493"/>
      <c r="FC60" s="1493"/>
      <c r="FD60" s="1493"/>
      <c r="FE60" s="1493"/>
      <c r="FF60" s="1493"/>
      <c r="FG60" s="1493"/>
      <c r="FH60" s="1493"/>
      <c r="FI60" s="1493"/>
      <c r="FJ60" s="1493"/>
      <c r="FK60" s="1493"/>
      <c r="FL60" s="1493"/>
      <c r="FM60" s="1493"/>
      <c r="FN60" s="1493"/>
      <c r="FO60" s="1493"/>
      <c r="FP60" s="1493"/>
      <c r="FQ60" s="1493"/>
      <c r="FR60" s="1493"/>
      <c r="FS60" s="1493"/>
      <c r="FT60" s="1493"/>
      <c r="FU60" s="1493"/>
      <c r="FV60" s="1493"/>
      <c r="FW60" s="1493"/>
      <c r="FX60" s="1493"/>
      <c r="FY60" s="1493"/>
      <c r="FZ60" s="1493"/>
      <c r="GA60" s="1493"/>
      <c r="GB60" s="1493"/>
      <c r="GC60" s="1493"/>
      <c r="GD60" s="1493"/>
      <c r="GE60" s="1493"/>
      <c r="GF60" s="1493"/>
      <c r="GG60" s="1493"/>
      <c r="GH60" s="1493"/>
      <c r="GI60" s="1493"/>
      <c r="GJ60" s="1493"/>
      <c r="GK60" s="1493"/>
      <c r="GL60" s="1493"/>
      <c r="GM60" s="1493"/>
      <c r="GN60" s="1493"/>
      <c r="GO60" s="1493"/>
      <c r="GP60" s="1493"/>
      <c r="GQ60" s="1493"/>
      <c r="GR60" s="1493"/>
      <c r="GS60" s="1493"/>
      <c r="GT60" s="1493"/>
      <c r="GU60" s="1493"/>
      <c r="GV60" s="1493"/>
      <c r="GW60" s="1493"/>
      <c r="GX60" s="1493"/>
      <c r="GY60" s="1493"/>
      <c r="GZ60" s="1493"/>
      <c r="HA60" s="1493"/>
      <c r="HB60" s="1493"/>
      <c r="HC60" s="1493"/>
      <c r="HD60" s="1493"/>
      <c r="HE60" s="1493"/>
      <c r="HF60" s="1493"/>
      <c r="HG60" s="1493"/>
      <c r="HH60" s="1493"/>
      <c r="HI60" s="1493"/>
      <c r="HJ60" s="1493"/>
      <c r="HK60" s="1493"/>
      <c r="HL60" s="1493"/>
      <c r="HM60" s="1493"/>
      <c r="HN60" s="1493"/>
      <c r="HO60" s="1493"/>
      <c r="HP60" s="1493"/>
      <c r="HQ60" s="1493"/>
      <c r="HR60" s="1493"/>
      <c r="HS60" s="1493"/>
      <c r="HT60" s="1493"/>
      <c r="HU60" s="1493"/>
      <c r="HV60" s="1493"/>
      <c r="HW60" s="1493"/>
      <c r="HX60" s="1493"/>
      <c r="HY60" s="1493"/>
      <c r="HZ60" s="1493"/>
      <c r="IA60" s="1493"/>
      <c r="IB60" s="1493"/>
      <c r="IC60" s="1493"/>
      <c r="ID60" s="1493"/>
      <c r="IE60" s="1493"/>
      <c r="IF60" s="1493"/>
      <c r="IG60" s="1493"/>
      <c r="IH60" s="1493"/>
      <c r="II60" s="1493"/>
      <c r="IJ60" s="1493"/>
      <c r="IK60" s="1493"/>
      <c r="IL60" s="1493"/>
      <c r="IM60" s="1493"/>
      <c r="IN60" s="1493"/>
      <c r="IO60" s="1493"/>
      <c r="IP60" s="1493"/>
      <c r="IQ60" s="1493"/>
      <c r="IR60" s="1493"/>
      <c r="IS60" s="1493"/>
      <c r="IT60" s="1493"/>
      <c r="IU60" s="1493"/>
      <c r="IV60" s="1493"/>
    </row>
    <row r="61" spans="1:256" ht="13.5" thickTop="1"/>
    <row r="62" spans="1:256">
      <c r="A62" s="615" t="s">
        <v>311</v>
      </c>
    </row>
    <row r="63" spans="1:256" ht="27.75" customHeight="1">
      <c r="A63" s="616">
        <v>1</v>
      </c>
      <c r="B63" s="2309" t="s">
        <v>792</v>
      </c>
      <c r="C63" s="2309"/>
      <c r="D63" s="2309"/>
      <c r="E63" s="2309"/>
      <c r="F63" s="2309"/>
      <c r="G63" s="2309"/>
      <c r="H63" s="2309"/>
      <c r="I63" s="2309"/>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61"/>
  <sheetViews>
    <sheetView zoomScale="80" zoomScaleNormal="80" zoomScaleSheetLayoutView="80" workbookViewId="0">
      <selection activeCell="H36" sqref="H36"/>
    </sheetView>
  </sheetViews>
  <sheetFormatPr defaultColWidth="9.28515625" defaultRowHeight="12.75"/>
  <cols>
    <col min="1" max="1" width="9.28515625" style="625"/>
    <col min="2" max="2" width="47.7109375" style="618" customWidth="1"/>
    <col min="3" max="3" width="38.42578125" style="618" customWidth="1"/>
    <col min="4" max="4" width="18.42578125" style="618" customWidth="1"/>
    <col min="5" max="5" width="14.28515625" style="618" customWidth="1"/>
    <col min="6" max="6" width="15.28515625" style="618" customWidth="1"/>
    <col min="7" max="7" width="14.28515625" style="618" customWidth="1"/>
    <col min="8" max="9" width="12.7109375" style="618" customWidth="1"/>
    <col min="10" max="16384" width="9.28515625" style="618"/>
  </cols>
  <sheetData>
    <row r="1" spans="1:12" ht="15">
      <c r="A1" s="617"/>
    </row>
    <row r="3" spans="1:12" s="621" customFormat="1" ht="15">
      <c r="A3" s="619"/>
      <c r="B3" s="2216" t="str">
        <f>+'SWT TCOS'!F4</f>
        <v xml:space="preserve">AEP West SPP Member Transmission Companies </v>
      </c>
      <c r="C3" s="2216"/>
      <c r="D3" s="2216"/>
      <c r="E3" s="2216"/>
      <c r="F3" s="2216"/>
      <c r="G3" s="2216"/>
      <c r="H3" s="2216"/>
      <c r="I3" s="2216"/>
      <c r="J3" s="620"/>
      <c r="K3" s="620"/>
      <c r="L3" s="620"/>
    </row>
    <row r="4" spans="1:12" s="621" customFormat="1" ht="15">
      <c r="A4" s="619"/>
      <c r="B4" s="2217" t="str">
        <f>+'SWT WS A-1 - Plant'!A3</f>
        <v xml:space="preserve">Actual / Projected 2022 Rate Year Cost of Service Formula Rate </v>
      </c>
      <c r="C4" s="2217"/>
      <c r="D4" s="2217"/>
      <c r="E4" s="2217"/>
      <c r="F4" s="2217"/>
      <c r="G4" s="2217"/>
      <c r="H4" s="2217"/>
      <c r="I4" s="2217"/>
      <c r="J4" s="622"/>
      <c r="K4" s="622"/>
      <c r="L4" s="622"/>
    </row>
    <row r="5" spans="1:12" s="621" customFormat="1" ht="15.75">
      <c r="A5" s="619"/>
      <c r="B5" s="2218" t="s">
        <v>877</v>
      </c>
      <c r="C5" s="2218"/>
      <c r="D5" s="2218"/>
      <c r="E5" s="2218"/>
      <c r="F5" s="2218"/>
      <c r="G5" s="2218"/>
      <c r="H5" s="2218"/>
      <c r="I5" s="2218"/>
      <c r="J5" s="623"/>
      <c r="K5" s="623"/>
      <c r="L5" s="623"/>
    </row>
    <row r="6" spans="1:12" s="621" customFormat="1" ht="15.75">
      <c r="A6" s="619"/>
      <c r="B6" s="2219" t="str">
        <f>+'SWT TCOS'!F8</f>
        <v>AEP SOUTHWESTERN TRANSMISSION COMPANY</v>
      </c>
      <c r="C6" s="2219"/>
      <c r="D6" s="2219"/>
      <c r="E6" s="2219"/>
      <c r="F6" s="2219"/>
      <c r="G6" s="2219"/>
      <c r="H6" s="2219"/>
      <c r="I6" s="2219"/>
      <c r="J6" s="624"/>
      <c r="K6" s="624"/>
      <c r="L6" s="624"/>
    </row>
    <row r="8" spans="1:12">
      <c r="B8" s="618" t="s">
        <v>799</v>
      </c>
    </row>
    <row r="9" spans="1:12" ht="25.5" customHeight="1">
      <c r="B9" s="2215" t="s">
        <v>800</v>
      </c>
      <c r="C9" s="2215"/>
      <c r="D9" s="2215"/>
      <c r="E9" s="2215"/>
      <c r="F9" s="2215"/>
      <c r="G9" s="2215"/>
      <c r="H9" s="2215"/>
      <c r="I9" s="2215"/>
    </row>
    <row r="10" spans="1:12" ht="27" customHeight="1">
      <c r="B10" s="2221" t="s">
        <v>1172</v>
      </c>
      <c r="C10" s="2221"/>
      <c r="D10" s="2221"/>
      <c r="E10" s="2221"/>
      <c r="F10" s="2221"/>
      <c r="G10" s="2221"/>
      <c r="H10" s="2221"/>
      <c r="I10" s="2221"/>
    </row>
    <row r="11" spans="1:12">
      <c r="B11" s="2215" t="s">
        <v>1173</v>
      </c>
      <c r="C11" s="2215"/>
      <c r="D11" s="2215"/>
      <c r="E11" s="2215"/>
      <c r="F11" s="2215"/>
      <c r="G11" s="2215"/>
      <c r="H11" s="2215"/>
      <c r="I11" s="2215"/>
    </row>
    <row r="13" spans="1:12">
      <c r="B13" s="626" t="s">
        <v>298</v>
      </c>
      <c r="C13" s="627" t="s">
        <v>299</v>
      </c>
      <c r="D13" s="627"/>
      <c r="E13" s="627" t="s">
        <v>300</v>
      </c>
      <c r="F13" s="627" t="s">
        <v>301</v>
      </c>
      <c r="G13" s="627" t="s">
        <v>226</v>
      </c>
      <c r="H13" s="627" t="s">
        <v>227</v>
      </c>
      <c r="I13" s="627" t="s">
        <v>228</v>
      </c>
    </row>
    <row r="14" spans="1:12">
      <c r="A14" s="628" t="s">
        <v>305</v>
      </c>
    </row>
    <row r="15" spans="1:12">
      <c r="A15" s="629"/>
      <c r="E15" s="2220" t="s">
        <v>1070</v>
      </c>
      <c r="F15" s="2220"/>
      <c r="G15" s="2220"/>
      <c r="H15" s="2220"/>
      <c r="I15" s="2220"/>
    </row>
    <row r="16" spans="1:12" ht="15">
      <c r="A16" s="629"/>
      <c r="B16" s="630" t="s">
        <v>796</v>
      </c>
      <c r="C16" s="631" t="s">
        <v>342</v>
      </c>
      <c r="D16" s="631" t="s">
        <v>255</v>
      </c>
      <c r="E16" s="632">
        <v>1901001</v>
      </c>
      <c r="F16" s="632">
        <v>2821001</v>
      </c>
      <c r="G16" s="632">
        <v>2831001</v>
      </c>
      <c r="H16" s="632" t="s">
        <v>798</v>
      </c>
      <c r="I16" s="632" t="s">
        <v>798</v>
      </c>
    </row>
    <row r="17" spans="1:13">
      <c r="A17" s="629"/>
      <c r="B17" s="2066" t="s">
        <v>1152</v>
      </c>
      <c r="C17" s="2067"/>
      <c r="D17" s="2067"/>
      <c r="E17" s="632" t="s">
        <v>1153</v>
      </c>
      <c r="F17" s="632" t="s">
        <v>1153</v>
      </c>
      <c r="G17" s="632" t="s">
        <v>1153</v>
      </c>
      <c r="H17" s="632"/>
      <c r="I17" s="632"/>
      <c r="J17" s="2143"/>
      <c r="K17" s="2143"/>
      <c r="L17" s="2143"/>
      <c r="M17" s="2143"/>
    </row>
    <row r="18" spans="1:13" ht="25.5">
      <c r="A18" s="629">
        <v>1</v>
      </c>
      <c r="B18" s="633" t="s">
        <v>1174</v>
      </c>
      <c r="C18" s="625" t="s">
        <v>801</v>
      </c>
      <c r="D18" s="625">
        <f>+SUM(E18:I18)</f>
        <v>9310.31</v>
      </c>
      <c r="E18" s="634">
        <v>0</v>
      </c>
      <c r="F18" s="634">
        <v>312.98</v>
      </c>
      <c r="G18" s="634">
        <v>8997.33</v>
      </c>
      <c r="H18" s="634"/>
      <c r="I18" s="634"/>
      <c r="J18" s="2143"/>
      <c r="K18" s="2143"/>
      <c r="L18" s="2143"/>
      <c r="M18" s="2143"/>
    </row>
    <row r="19" spans="1:13">
      <c r="A19" s="629">
        <f t="shared" ref="A19:A47" si="0">+A18+1</f>
        <v>2</v>
      </c>
      <c r="B19" s="633" t="s">
        <v>808</v>
      </c>
      <c r="C19" s="635" t="s">
        <v>1175</v>
      </c>
      <c r="D19" s="636"/>
      <c r="E19" s="635">
        <v>5</v>
      </c>
      <c r="F19" s="635">
        <v>5</v>
      </c>
      <c r="G19" s="635">
        <v>5</v>
      </c>
      <c r="H19" s="635">
        <v>5</v>
      </c>
      <c r="I19" s="635">
        <v>5</v>
      </c>
      <c r="J19" s="2143"/>
      <c r="K19" s="2143"/>
      <c r="L19" s="2143"/>
      <c r="M19" s="2143"/>
    </row>
    <row r="20" spans="1:13">
      <c r="A20" s="629">
        <f t="shared" si="0"/>
        <v>3</v>
      </c>
      <c r="B20" s="637" t="s">
        <v>797</v>
      </c>
      <c r="C20" s="638" t="str">
        <f>"Line "&amp;A18&amp;" / Line "&amp;A19</f>
        <v>Line 1 / Line 2</v>
      </c>
      <c r="D20" s="638">
        <f>+SUM(E20:I20)</f>
        <v>1862.0619999999999</v>
      </c>
      <c r="E20" s="639">
        <f>+E18/E19</f>
        <v>0</v>
      </c>
      <c r="F20" s="639">
        <f>+F18/F19</f>
        <v>62.596000000000004</v>
      </c>
      <c r="G20" s="639">
        <f>+G18/G19</f>
        <v>1799.4659999999999</v>
      </c>
      <c r="H20" s="639">
        <f>+H18/H19</f>
        <v>0</v>
      </c>
      <c r="I20" s="639">
        <f>+I18/I19</f>
        <v>0</v>
      </c>
      <c r="J20" s="2143"/>
      <c r="K20" s="2143"/>
      <c r="L20" s="2143"/>
      <c r="M20" s="2143"/>
    </row>
    <row r="21" spans="1:13" ht="13.5" customHeight="1">
      <c r="A21" s="629">
        <f t="shared" si="0"/>
        <v>4</v>
      </c>
      <c r="B21" s="633" t="s">
        <v>794</v>
      </c>
      <c r="C21" s="625" t="s">
        <v>801</v>
      </c>
      <c r="D21" s="625">
        <f>+SUM(E21:I21)</f>
        <v>7448.2479999999996</v>
      </c>
      <c r="E21" s="634"/>
      <c r="F21" s="634">
        <v>250.38400000000001</v>
      </c>
      <c r="G21" s="634">
        <v>7197.8639999999996</v>
      </c>
      <c r="H21" s="634"/>
      <c r="I21" s="634"/>
      <c r="J21" s="2143"/>
      <c r="K21" s="2143"/>
      <c r="L21" s="2143"/>
      <c r="M21" s="2143"/>
    </row>
    <row r="22" spans="1:13">
      <c r="A22" s="629">
        <f t="shared" si="0"/>
        <v>5</v>
      </c>
      <c r="B22" s="637" t="s">
        <v>795</v>
      </c>
      <c r="C22" s="638" t="str">
        <f>"Line "&amp;A20&amp;" + Line "&amp;A21</f>
        <v>Line 3 + Line 4</v>
      </c>
      <c r="D22" s="638">
        <f>+SUM(E22:I22)</f>
        <v>9310.31</v>
      </c>
      <c r="E22" s="639">
        <f>+E20+E21</f>
        <v>0</v>
      </c>
      <c r="F22" s="639">
        <f>+F20+F21</f>
        <v>312.98</v>
      </c>
      <c r="G22" s="639">
        <f>+G20+G21</f>
        <v>8997.33</v>
      </c>
      <c r="H22" s="639">
        <f>+H20+H21</f>
        <v>0</v>
      </c>
      <c r="I22" s="639">
        <f>+I20+I21</f>
        <v>0</v>
      </c>
      <c r="J22" s="2143"/>
      <c r="K22" s="2143"/>
      <c r="L22" s="2143"/>
      <c r="M22" s="2143"/>
    </row>
    <row r="23" spans="1:13">
      <c r="A23" s="629"/>
      <c r="B23" s="640"/>
      <c r="J23" s="2143"/>
      <c r="K23" s="2143"/>
      <c r="L23" s="2143"/>
      <c r="M23" s="2143"/>
    </row>
    <row r="24" spans="1:13" ht="25.5">
      <c r="A24" s="629">
        <f>+A22+1</f>
        <v>6</v>
      </c>
      <c r="B24" s="633" t="s">
        <v>810</v>
      </c>
      <c r="C24" s="634" t="s">
        <v>812</v>
      </c>
      <c r="D24" s="625">
        <f>+SUM(E24:I24)</f>
        <v>-13147.24</v>
      </c>
      <c r="E24" s="634">
        <v>0</v>
      </c>
      <c r="F24" s="634">
        <f>+'SWT WS C-2 ADIT BOY'!H15</f>
        <v>313</v>
      </c>
      <c r="G24" s="634">
        <f>'SWT WS C-2 ADIT BOY'!H27</f>
        <v>-13460.24</v>
      </c>
      <c r="H24" s="2143"/>
      <c r="I24" s="2143"/>
      <c r="J24" s="2143"/>
      <c r="K24" s="2143"/>
      <c r="L24" s="2143"/>
      <c r="M24" s="2143"/>
    </row>
    <row r="25" spans="1:13" ht="25.5">
      <c r="A25" s="629">
        <f t="shared" si="0"/>
        <v>7</v>
      </c>
      <c r="B25" s="633" t="s">
        <v>809</v>
      </c>
      <c r="C25" s="625" t="str">
        <f>"Line "&amp;A18&amp;" - Line "&amp;A21</f>
        <v>Line 1 - Line 4</v>
      </c>
      <c r="D25" s="625">
        <f t="shared" ref="D25:D26" si="1">+SUM(E25:I25)</f>
        <v>1862.0620000000004</v>
      </c>
      <c r="E25" s="618">
        <f>+E18-E21</f>
        <v>0</v>
      </c>
      <c r="F25" s="618">
        <f>+F18-F21</f>
        <v>62.596000000000004</v>
      </c>
      <c r="G25" s="618">
        <f>+G18-G21</f>
        <v>1799.4660000000003</v>
      </c>
      <c r="H25" s="618">
        <f>+H18-H21</f>
        <v>0</v>
      </c>
      <c r="I25" s="618">
        <f>+I18-I21</f>
        <v>0</v>
      </c>
      <c r="J25" s="2143"/>
      <c r="K25" s="2143"/>
      <c r="L25" s="2143"/>
      <c r="M25" s="2143"/>
    </row>
    <row r="26" spans="1:13">
      <c r="A26" s="629">
        <f t="shared" si="0"/>
        <v>8</v>
      </c>
      <c r="B26" s="637" t="s">
        <v>811</v>
      </c>
      <c r="C26" s="638" t="str">
        <f>"Line "&amp;A24&amp;" - Line "&amp;A25</f>
        <v>Line 6 - Line 7</v>
      </c>
      <c r="D26" s="638">
        <f t="shared" si="1"/>
        <v>-15009.302</v>
      </c>
      <c r="E26" s="639">
        <f>+E24-E25</f>
        <v>0</v>
      </c>
      <c r="F26" s="639">
        <f>+F24-F25</f>
        <v>250.404</v>
      </c>
      <c r="G26" s="639">
        <f>+G24-G25</f>
        <v>-15259.706</v>
      </c>
      <c r="H26" s="639">
        <f>+H24-H25</f>
        <v>0</v>
      </c>
      <c r="I26" s="639">
        <f>+I24-I25</f>
        <v>0</v>
      </c>
      <c r="J26" s="2143"/>
      <c r="K26" s="2143"/>
      <c r="L26" s="2143"/>
      <c r="M26" s="2143"/>
    </row>
    <row r="27" spans="1:13">
      <c r="A27" s="629"/>
      <c r="B27" s="633"/>
      <c r="J27" s="2143"/>
      <c r="K27" s="2143"/>
      <c r="L27" s="2143"/>
      <c r="M27" s="2143"/>
    </row>
    <row r="28" spans="1:13" ht="25.5">
      <c r="A28" s="629">
        <f>+A26+1</f>
        <v>9</v>
      </c>
      <c r="B28" s="633" t="s">
        <v>803</v>
      </c>
      <c r="C28" s="634" t="s">
        <v>804</v>
      </c>
      <c r="D28" s="625">
        <f>+SUM(E28:I28)</f>
        <v>-15010.24</v>
      </c>
      <c r="E28" s="634">
        <v>0</v>
      </c>
      <c r="F28" s="634">
        <f>+'SWT WS C-1 ADIT EOY'!H15</f>
        <v>0</v>
      </c>
      <c r="G28" s="634">
        <f>+'SWT WS C-1 ADIT EOY'!H27</f>
        <v>-15010.24</v>
      </c>
      <c r="H28" s="619"/>
      <c r="I28" s="619"/>
      <c r="J28" s="2143"/>
      <c r="K28" s="2143"/>
      <c r="L28" s="2143"/>
      <c r="M28" s="2143"/>
    </row>
    <row r="29" spans="1:13" ht="25.5">
      <c r="A29" s="629">
        <f t="shared" si="0"/>
        <v>10</v>
      </c>
      <c r="B29" s="633" t="s">
        <v>807</v>
      </c>
      <c r="C29" s="625" t="str">
        <f>"Line "&amp;A18&amp;" - Line "&amp;A22</f>
        <v>Line 1 - Line 5</v>
      </c>
      <c r="D29" s="625">
        <f t="shared" ref="D29:D30" si="2">+SUM(E29:I29)</f>
        <v>0</v>
      </c>
      <c r="E29" s="641">
        <f>+E18-E22</f>
        <v>0</v>
      </c>
      <c r="F29" s="641">
        <f>+F18-F22</f>
        <v>0</v>
      </c>
      <c r="G29" s="641">
        <f>+G18-G22</f>
        <v>0</v>
      </c>
      <c r="H29" s="641">
        <f>+H18-H22</f>
        <v>0</v>
      </c>
      <c r="I29" s="641">
        <f>+I18-I22</f>
        <v>0</v>
      </c>
      <c r="J29" s="2143"/>
      <c r="K29" s="2143"/>
      <c r="L29" s="2143"/>
      <c r="M29" s="2143"/>
    </row>
    <row r="30" spans="1:13">
      <c r="A30" s="629">
        <f t="shared" si="0"/>
        <v>11</v>
      </c>
      <c r="B30" s="637" t="s">
        <v>806</v>
      </c>
      <c r="C30" s="638" t="str">
        <f>"Line "&amp;A28&amp;" - Line "&amp;A29</f>
        <v>Line 9 - Line 10</v>
      </c>
      <c r="D30" s="638">
        <f t="shared" si="2"/>
        <v>-15010.24</v>
      </c>
      <c r="E30" s="639">
        <f>+E28-E29</f>
        <v>0</v>
      </c>
      <c r="F30" s="639">
        <f>+F28-F29</f>
        <v>0</v>
      </c>
      <c r="G30" s="639">
        <f t="shared" ref="G30:I30" si="3">+G28-G29</f>
        <v>-15010.24</v>
      </c>
      <c r="H30" s="639">
        <f t="shared" si="3"/>
        <v>0</v>
      </c>
      <c r="I30" s="639">
        <f t="shared" si="3"/>
        <v>0</v>
      </c>
    </row>
    <row r="31" spans="1:13">
      <c r="A31" s="629"/>
    </row>
    <row r="32" spans="1:13">
      <c r="A32" s="629"/>
    </row>
    <row r="33" spans="1:10">
      <c r="A33" s="629"/>
      <c r="E33" s="2214" t="s">
        <v>1070</v>
      </c>
      <c r="F33" s="2214"/>
      <c r="G33" s="2214"/>
    </row>
    <row r="34" spans="1:10" ht="15">
      <c r="A34" s="629"/>
      <c r="B34" s="630" t="s">
        <v>802</v>
      </c>
      <c r="C34" s="631" t="s">
        <v>342</v>
      </c>
      <c r="D34" s="631" t="s">
        <v>255</v>
      </c>
      <c r="E34" s="642">
        <v>2821001</v>
      </c>
      <c r="F34" s="642" t="s">
        <v>798</v>
      </c>
      <c r="G34" s="642" t="s">
        <v>798</v>
      </c>
      <c r="H34" s="643"/>
      <c r="I34" s="643"/>
    </row>
    <row r="35" spans="1:10">
      <c r="A35" s="629"/>
      <c r="B35" s="2066" t="s">
        <v>1152</v>
      </c>
      <c r="C35" s="2067"/>
      <c r="D35" s="2067"/>
      <c r="E35" s="632" t="s">
        <v>1153</v>
      </c>
      <c r="F35" s="632"/>
      <c r="G35" s="632"/>
      <c r="H35" s="643"/>
      <c r="I35" s="643"/>
    </row>
    <row r="36" spans="1:10" ht="25.5">
      <c r="A36" s="629">
        <f>+A30+1</f>
        <v>12</v>
      </c>
      <c r="B36" s="633" t="s">
        <v>825</v>
      </c>
      <c r="C36" s="625" t="s">
        <v>801</v>
      </c>
      <c r="D36" s="625">
        <f t="shared" ref="D36:D47" si="4">+SUM(E36:I36)</f>
        <v>0</v>
      </c>
      <c r="E36" s="634">
        <v>0</v>
      </c>
      <c r="F36" s="634"/>
      <c r="G36" s="634"/>
      <c r="H36" s="2144"/>
      <c r="I36" s="643"/>
    </row>
    <row r="37" spans="1:10">
      <c r="A37" s="629">
        <f>+A36+1</f>
        <v>13</v>
      </c>
      <c r="B37" s="633" t="s">
        <v>797</v>
      </c>
      <c r="C37" s="625" t="s">
        <v>801</v>
      </c>
      <c r="D37" s="625">
        <f t="shared" si="4"/>
        <v>0</v>
      </c>
      <c r="E37" s="634"/>
      <c r="F37" s="634"/>
      <c r="G37" s="634"/>
      <c r="H37" s="643"/>
      <c r="I37" s="643"/>
    </row>
    <row r="38" spans="1:10" ht="13.5" customHeight="1">
      <c r="A38" s="629">
        <f t="shared" si="0"/>
        <v>14</v>
      </c>
      <c r="B38" s="633" t="s">
        <v>817</v>
      </c>
      <c r="C38" s="625" t="s">
        <v>801</v>
      </c>
      <c r="D38" s="625">
        <f t="shared" si="4"/>
        <v>0</v>
      </c>
      <c r="E38" s="634"/>
      <c r="F38" s="634"/>
      <c r="G38" s="634"/>
      <c r="H38" s="643"/>
      <c r="I38" s="643"/>
    </row>
    <row r="39" spans="1:10">
      <c r="A39" s="629">
        <f t="shared" si="0"/>
        <v>15</v>
      </c>
      <c r="B39" s="637" t="s">
        <v>818</v>
      </c>
      <c r="C39" s="638" t="str">
        <f>"Line "&amp;A37&amp;" + Line "&amp;A38</f>
        <v>Line 13 + Line 14</v>
      </c>
      <c r="D39" s="638">
        <f t="shared" si="4"/>
        <v>0</v>
      </c>
      <c r="E39" s="639">
        <f>+E37+E38</f>
        <v>0</v>
      </c>
      <c r="F39" s="639">
        <f>+F37+F38</f>
        <v>0</v>
      </c>
      <c r="G39" s="639"/>
      <c r="H39" s="643"/>
      <c r="I39" s="643"/>
    </row>
    <row r="40" spans="1:10">
      <c r="A40" s="629"/>
      <c r="B40" s="640"/>
      <c r="H40" s="643"/>
      <c r="I40" s="643"/>
    </row>
    <row r="41" spans="1:10" ht="25.5">
      <c r="A41" s="629">
        <f>+A39+1</f>
        <v>16</v>
      </c>
      <c r="B41" s="633" t="s">
        <v>815</v>
      </c>
      <c r="C41" s="634" t="s">
        <v>814</v>
      </c>
      <c r="D41" s="619">
        <f t="shared" si="4"/>
        <v>-183</v>
      </c>
      <c r="E41" s="634">
        <f>+'SWT WS C-2 ADIT BOY'!H14</f>
        <v>-183</v>
      </c>
      <c r="F41" s="621"/>
      <c r="G41" s="641"/>
      <c r="H41" s="643"/>
      <c r="I41" s="643"/>
      <c r="J41" s="643"/>
    </row>
    <row r="42" spans="1:10" ht="25.5">
      <c r="A42" s="629">
        <f t="shared" si="0"/>
        <v>17</v>
      </c>
      <c r="B42" s="633" t="s">
        <v>809</v>
      </c>
      <c r="C42" s="625" t="str">
        <f>"Line "&amp;A36&amp;" - Line "&amp;A38</f>
        <v>Line 12 - Line 14</v>
      </c>
      <c r="D42" s="644">
        <f t="shared" si="4"/>
        <v>0</v>
      </c>
      <c r="E42" s="641">
        <f>+E36-E38</f>
        <v>0</v>
      </c>
      <c r="F42" s="621">
        <f>+F36-F38</f>
        <v>0</v>
      </c>
      <c r="G42" s="641">
        <f>+G36-G38</f>
        <v>0</v>
      </c>
      <c r="H42" s="643"/>
      <c r="I42" s="643"/>
      <c r="J42" s="643"/>
    </row>
    <row r="43" spans="1:10">
      <c r="A43" s="629">
        <f t="shared" si="0"/>
        <v>18</v>
      </c>
      <c r="B43" s="637" t="s">
        <v>811</v>
      </c>
      <c r="C43" s="638" t="str">
        <f>"Line "&amp;A41&amp;" - Line "&amp;A42</f>
        <v>Line 16 - Line 17</v>
      </c>
      <c r="D43" s="645">
        <f t="shared" si="4"/>
        <v>-183</v>
      </c>
      <c r="E43" s="639">
        <f>+E41-E42</f>
        <v>-183</v>
      </c>
      <c r="F43" s="639">
        <f>+F41-F42</f>
        <v>0</v>
      </c>
      <c r="G43" s="639">
        <f>+G41-G42</f>
        <v>0</v>
      </c>
      <c r="H43" s="643"/>
      <c r="I43" s="643"/>
      <c r="J43" s="643"/>
    </row>
    <row r="44" spans="1:10">
      <c r="A44" s="629"/>
      <c r="H44" s="643"/>
      <c r="I44" s="643"/>
      <c r="J44" s="643"/>
    </row>
    <row r="45" spans="1:10" ht="25.5">
      <c r="A45" s="629">
        <f>+A43+1</f>
        <v>19</v>
      </c>
      <c r="B45" s="633" t="s">
        <v>816</v>
      </c>
      <c r="C45" s="634" t="s">
        <v>805</v>
      </c>
      <c r="D45" s="619">
        <f t="shared" si="4"/>
        <v>0</v>
      </c>
      <c r="E45" s="634">
        <f>+'SWT WS C-1 ADIT EOY'!H14</f>
        <v>0</v>
      </c>
      <c r="F45" s="619"/>
      <c r="G45" s="619"/>
      <c r="H45" s="643"/>
      <c r="I45" s="643"/>
      <c r="J45" s="643"/>
    </row>
    <row r="46" spans="1:10" ht="25.5">
      <c r="A46" s="629">
        <f t="shared" si="0"/>
        <v>20</v>
      </c>
      <c r="B46" s="633" t="s">
        <v>807</v>
      </c>
      <c r="C46" s="625" t="str">
        <f>"Line "&amp;A36&amp;" - Line "&amp;A39</f>
        <v>Line 12 - Line 15</v>
      </c>
      <c r="D46" s="644">
        <f t="shared" si="4"/>
        <v>0</v>
      </c>
      <c r="E46" s="619">
        <f>+E36-E39</f>
        <v>0</v>
      </c>
      <c r="F46" s="619">
        <f>+F36-F39</f>
        <v>0</v>
      </c>
      <c r="G46" s="619">
        <f>+G36-G39</f>
        <v>0</v>
      </c>
      <c r="H46" s="643"/>
      <c r="I46" s="643"/>
      <c r="J46" s="643"/>
    </row>
    <row r="47" spans="1:10">
      <c r="A47" s="629">
        <f t="shared" si="0"/>
        <v>21</v>
      </c>
      <c r="B47" s="637" t="s">
        <v>806</v>
      </c>
      <c r="C47" s="638" t="str">
        <f>"Line "&amp;A45&amp;" - Line "&amp;A46</f>
        <v>Line 19 - Line 20</v>
      </c>
      <c r="D47" s="645">
        <f t="shared" si="4"/>
        <v>0</v>
      </c>
      <c r="E47" s="639">
        <f>+E45-E46</f>
        <v>0</v>
      </c>
      <c r="F47" s="639">
        <f>+F45-F46</f>
        <v>0</v>
      </c>
      <c r="G47" s="639">
        <f>+G45-G46</f>
        <v>0</v>
      </c>
      <c r="H47" s="643"/>
      <c r="I47" s="643"/>
    </row>
    <row r="48" spans="1:10">
      <c r="A48" s="629"/>
      <c r="G48" s="643"/>
      <c r="H48" s="643"/>
      <c r="I48" s="643"/>
    </row>
    <row r="49" spans="1:7">
      <c r="A49" s="629"/>
    </row>
    <row r="50" spans="1:7" ht="15">
      <c r="A50" s="629"/>
      <c r="B50" s="630" t="s">
        <v>822</v>
      </c>
      <c r="D50" s="646" t="s">
        <v>793</v>
      </c>
    </row>
    <row r="51" spans="1:7">
      <c r="A51" s="629">
        <f>+A47+1</f>
        <v>22</v>
      </c>
      <c r="B51" s="618" t="s">
        <v>819</v>
      </c>
      <c r="C51" s="625" t="str">
        <f>"Line "&amp;A20</f>
        <v>Line 3</v>
      </c>
      <c r="D51" s="618">
        <f>+D20</f>
        <v>1862.0619999999999</v>
      </c>
    </row>
    <row r="52" spans="1:7">
      <c r="A52" s="629">
        <f>+A51+1</f>
        <v>23</v>
      </c>
      <c r="B52" s="618" t="s">
        <v>820</v>
      </c>
      <c r="C52" s="625" t="str">
        <f>"Line "&amp;A37</f>
        <v>Line 13</v>
      </c>
      <c r="D52" s="618">
        <f>+D37</f>
        <v>0</v>
      </c>
    </row>
    <row r="53" spans="1:7">
      <c r="A53" s="629">
        <f>+A52+1</f>
        <v>24</v>
      </c>
      <c r="B53" s="639" t="s">
        <v>821</v>
      </c>
      <c r="C53" s="638" t="str">
        <f>"Line "&amp;A51&amp;" + Line "&amp;A52</f>
        <v>Line 22 + Line 23</v>
      </c>
      <c r="D53" s="639">
        <f>+D51+D52</f>
        <v>1862.0619999999999</v>
      </c>
    </row>
    <row r="55" spans="1:7">
      <c r="B55" s="618" t="s">
        <v>1171</v>
      </c>
    </row>
    <row r="57" spans="1:7">
      <c r="B57" s="2054" t="s">
        <v>1073</v>
      </c>
      <c r="C57" s="2054" t="s">
        <v>1154</v>
      </c>
      <c r="D57" s="2212" t="s">
        <v>1155</v>
      </c>
      <c r="E57" s="2213"/>
      <c r="F57" s="2212" t="s">
        <v>1156</v>
      </c>
      <c r="G57" s="2213"/>
    </row>
    <row r="58" spans="1:7">
      <c r="B58" s="2053" t="s">
        <v>1153</v>
      </c>
      <c r="C58" s="2053" t="s">
        <v>876</v>
      </c>
      <c r="D58" s="2210" t="s">
        <v>1157</v>
      </c>
      <c r="E58" s="2211"/>
      <c r="F58" s="2210" t="s">
        <v>1158</v>
      </c>
      <c r="G58" s="2211"/>
    </row>
    <row r="59" spans="1:7">
      <c r="B59" s="2053"/>
      <c r="C59" s="2053"/>
      <c r="D59" s="2210"/>
      <c r="E59" s="2211"/>
      <c r="F59" s="2210"/>
      <c r="G59" s="2211"/>
    </row>
    <row r="60" spans="1:7">
      <c r="B60" s="2053"/>
      <c r="C60" s="2053"/>
      <c r="D60" s="2210"/>
      <c r="E60" s="2211"/>
      <c r="F60" s="2210"/>
      <c r="G60" s="2211"/>
    </row>
    <row r="61" spans="1:7">
      <c r="B61" s="2053"/>
      <c r="C61" s="2053"/>
      <c r="D61" s="2210"/>
      <c r="E61" s="2211"/>
      <c r="F61" s="2210"/>
      <c r="G61" s="2211"/>
    </row>
  </sheetData>
  <mergeCells count="19">
    <mergeCell ref="F57:G57"/>
    <mergeCell ref="F58:G58"/>
    <mergeCell ref="F59:G59"/>
    <mergeCell ref="F60:G60"/>
    <mergeCell ref="F61:G61"/>
    <mergeCell ref="D57:E57"/>
    <mergeCell ref="D58:E58"/>
    <mergeCell ref="D59:E59"/>
    <mergeCell ref="D60:E60"/>
    <mergeCell ref="D61:E61"/>
    <mergeCell ref="E33:G33"/>
    <mergeCell ref="B3:I3"/>
    <mergeCell ref="B4:I4"/>
    <mergeCell ref="B5:I5"/>
    <mergeCell ref="B6:I6"/>
    <mergeCell ref="B9:I9"/>
    <mergeCell ref="E15:I15"/>
    <mergeCell ref="B10:I10"/>
    <mergeCell ref="B11:I11"/>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11"/>
  <sheetViews>
    <sheetView topLeftCell="B1" zoomScale="85" zoomScaleNormal="85" workbookViewId="0">
      <selection activeCell="M26" activeCellId="2" sqref="S13 P26 M26"/>
    </sheetView>
  </sheetViews>
  <sheetFormatPr defaultColWidth="9.140625" defaultRowHeight="12"/>
  <cols>
    <col min="1" max="1" width="8.5703125" style="1969" customWidth="1"/>
    <col min="2" max="2" width="19.140625" style="1970" customWidth="1"/>
    <col min="3" max="3" width="32.7109375" style="1969" customWidth="1"/>
    <col min="4" max="4" width="11.85546875" style="1969" customWidth="1"/>
    <col min="5" max="5" width="9.5703125" style="1969" customWidth="1"/>
    <col min="6" max="6" width="15.140625" style="1969" customWidth="1"/>
    <col min="7" max="7" width="14.42578125" style="1969" customWidth="1"/>
    <col min="8" max="8" width="13.140625" style="1969" bestFit="1" customWidth="1"/>
    <col min="9" max="9" width="17.42578125" style="1969" customWidth="1"/>
    <col min="10" max="10" width="14.28515625" style="1969" customWidth="1"/>
    <col min="11" max="11" width="14.85546875" style="1969" customWidth="1"/>
    <col min="12" max="13" width="13.85546875" style="1969" customWidth="1"/>
    <col min="14" max="14" width="12.42578125" style="1969" customWidth="1"/>
    <col min="15" max="15" width="14.5703125" style="1969" bestFit="1" customWidth="1"/>
    <col min="16" max="17" width="16.140625" style="1969" customWidth="1"/>
    <col min="18" max="18" width="30.42578125" style="1969" customWidth="1"/>
    <col min="19" max="19" width="13.85546875" style="1969" customWidth="1"/>
    <col min="20" max="21" width="13.42578125" style="1969" bestFit="1" customWidth="1"/>
    <col min="22" max="22" width="9.7109375" style="1969" bestFit="1" customWidth="1"/>
    <col min="23" max="16384" width="9.140625" style="1969"/>
  </cols>
  <sheetData>
    <row r="1" spans="1:23" ht="15">
      <c r="A1" s="1969" t="s">
        <v>1062</v>
      </c>
      <c r="Q1" s="1971"/>
      <c r="R1" s="1936"/>
    </row>
    <row r="2" spans="1:23" ht="15">
      <c r="A2" s="1969" t="s">
        <v>1063</v>
      </c>
      <c r="Q2" s="1971"/>
      <c r="R2" s="1936"/>
      <c r="V2" s="1972"/>
    </row>
    <row r="3" spans="1:23" ht="12.75">
      <c r="A3" s="1969" t="s">
        <v>1064</v>
      </c>
      <c r="R3" s="1936"/>
      <c r="V3" s="1973"/>
    </row>
    <row r="4" spans="1:23">
      <c r="A4" s="1969" t="s">
        <v>1151</v>
      </c>
      <c r="G4" s="1974"/>
    </row>
    <row r="5" spans="1:23">
      <c r="A5" s="1969" t="s">
        <v>1031</v>
      </c>
      <c r="I5" s="1975"/>
      <c r="J5" s="1975"/>
      <c r="P5" s="1975"/>
      <c r="Q5" s="1975"/>
    </row>
    <row r="6" spans="1:23">
      <c r="J6" s="1975"/>
      <c r="K6" s="1976"/>
      <c r="L6" s="1970"/>
      <c r="M6" s="1970"/>
      <c r="N6" s="1970"/>
      <c r="O6" s="1970"/>
      <c r="P6" s="1970"/>
      <c r="Q6" s="1970"/>
    </row>
    <row r="7" spans="1:23">
      <c r="B7" s="1977"/>
      <c r="C7" s="1977"/>
      <c r="D7" s="1977"/>
      <c r="E7" s="1977"/>
      <c r="F7" s="1977"/>
      <c r="G7" s="1977"/>
      <c r="H7" s="1977"/>
      <c r="I7" s="1977"/>
      <c r="J7" s="1977"/>
      <c r="K7" s="1977"/>
      <c r="L7" s="1977"/>
      <c r="M7" s="1977"/>
      <c r="N7" s="1977"/>
      <c r="O7" s="1977"/>
      <c r="P7" s="1977"/>
      <c r="Q7" s="1970"/>
    </row>
    <row r="8" spans="1:23">
      <c r="A8" s="1970" t="s">
        <v>284</v>
      </c>
      <c r="B8" s="1970" t="s">
        <v>285</v>
      </c>
      <c r="C8" s="1970" t="s">
        <v>286</v>
      </c>
      <c r="D8" s="1970" t="s">
        <v>287</v>
      </c>
      <c r="E8" s="1970" t="s">
        <v>288</v>
      </c>
      <c r="F8" s="1970" t="s">
        <v>289</v>
      </c>
      <c r="G8" s="1970" t="s">
        <v>290</v>
      </c>
      <c r="H8" s="1970" t="s">
        <v>291</v>
      </c>
      <c r="I8" s="1970" t="s">
        <v>1065</v>
      </c>
      <c r="J8" s="1970" t="s">
        <v>1066</v>
      </c>
      <c r="K8" s="1970" t="s">
        <v>294</v>
      </c>
      <c r="L8" s="1970" t="s">
        <v>295</v>
      </c>
      <c r="M8" s="1970" t="s">
        <v>296</v>
      </c>
      <c r="N8" s="1970" t="s">
        <v>364</v>
      </c>
      <c r="O8" s="1970" t="s">
        <v>385</v>
      </c>
      <c r="P8" s="1970" t="s">
        <v>11</v>
      </c>
      <c r="Q8" s="1970" t="s">
        <v>12</v>
      </c>
      <c r="R8" s="1970" t="s">
        <v>13</v>
      </c>
    </row>
    <row r="9" spans="1:23" ht="14.45" customHeight="1">
      <c r="A9" s="1969" t="s">
        <v>1187</v>
      </c>
      <c r="B9" s="1978"/>
      <c r="C9" s="1978"/>
      <c r="D9" s="1978"/>
      <c r="E9" s="1978"/>
      <c r="I9" s="2222" t="s">
        <v>1257</v>
      </c>
      <c r="J9" s="2222"/>
      <c r="K9" s="2223" t="s">
        <v>1067</v>
      </c>
      <c r="L9" s="2223"/>
      <c r="M9" s="2223"/>
      <c r="N9" s="2224" t="s">
        <v>1068</v>
      </c>
      <c r="O9" s="2224"/>
      <c r="P9" s="2222" t="s">
        <v>1258</v>
      </c>
      <c r="Q9" s="2222"/>
      <c r="R9" s="1979"/>
    </row>
    <row r="10" spans="1:23" ht="69.95" customHeight="1">
      <c r="A10" s="1979" t="s">
        <v>1069</v>
      </c>
      <c r="B10" s="1980" t="s">
        <v>1070</v>
      </c>
      <c r="C10" s="1980" t="s">
        <v>1071</v>
      </c>
      <c r="D10" s="1981" t="s">
        <v>1072</v>
      </c>
      <c r="E10" s="1981" t="s">
        <v>1073</v>
      </c>
      <c r="F10" s="1981" t="s">
        <v>1074</v>
      </c>
      <c r="G10" s="1981" t="s">
        <v>1075</v>
      </c>
      <c r="H10" s="1981" t="s">
        <v>862</v>
      </c>
      <c r="I10" s="2162" t="s">
        <v>1076</v>
      </c>
      <c r="J10" s="2162" t="s">
        <v>1077</v>
      </c>
      <c r="K10" s="1983" t="s">
        <v>1078</v>
      </c>
      <c r="L10" s="1983">
        <v>182.3</v>
      </c>
      <c r="M10" s="1983">
        <v>254</v>
      </c>
      <c r="N10" s="1983" t="s">
        <v>1079</v>
      </c>
      <c r="O10" s="1983" t="s">
        <v>1080</v>
      </c>
      <c r="P10" s="1982" t="s">
        <v>1081</v>
      </c>
      <c r="Q10" s="1982" t="s">
        <v>1082</v>
      </c>
      <c r="R10" s="1984" t="s">
        <v>1038</v>
      </c>
    </row>
    <row r="11" spans="1:23">
      <c r="B11" s="1969"/>
      <c r="D11" s="1985"/>
      <c r="E11" s="1985"/>
      <c r="F11" s="1985"/>
      <c r="G11" s="1985"/>
      <c r="H11" s="1985"/>
      <c r="I11" s="1986"/>
      <c r="J11" s="1986"/>
      <c r="K11" s="1986"/>
      <c r="L11" s="1986"/>
      <c r="M11" s="1986"/>
      <c r="N11" s="1986"/>
      <c r="O11" s="1986"/>
      <c r="P11" s="2225" t="s">
        <v>1083</v>
      </c>
      <c r="Q11" s="2225"/>
      <c r="R11" s="1984"/>
    </row>
    <row r="12" spans="1:23">
      <c r="B12" s="1987" t="s">
        <v>1084</v>
      </c>
      <c r="C12" s="1988"/>
      <c r="D12" s="1989"/>
      <c r="E12" s="1989"/>
      <c r="F12" s="1989"/>
      <c r="G12" s="1989"/>
      <c r="H12" s="1989"/>
      <c r="I12" s="1989"/>
      <c r="J12" s="1989"/>
      <c r="K12" s="1989"/>
      <c r="L12" s="1989"/>
      <c r="M12" s="1989"/>
      <c r="N12" s="1989"/>
      <c r="O12" s="1989"/>
      <c r="P12" s="1989"/>
      <c r="Q12" s="1989"/>
      <c r="R12" s="1973"/>
      <c r="S12" s="1973"/>
      <c r="T12" s="1973"/>
      <c r="U12" s="1973"/>
      <c r="V12" s="1973"/>
      <c r="W12" s="1973"/>
    </row>
    <row r="13" spans="1:23">
      <c r="A13" s="1969" t="s">
        <v>1085</v>
      </c>
      <c r="B13" s="1990" t="s">
        <v>1086</v>
      </c>
      <c r="C13" s="1969" t="s">
        <v>1087</v>
      </c>
      <c r="D13" s="1991" t="s">
        <v>16</v>
      </c>
      <c r="E13" s="1991" t="s">
        <v>1088</v>
      </c>
      <c r="F13" s="1992"/>
      <c r="G13" s="1991"/>
      <c r="H13" s="1991"/>
      <c r="I13" s="1993">
        <v>5011.9315020127415</v>
      </c>
      <c r="J13" s="1994" t="s">
        <v>251</v>
      </c>
      <c r="K13" s="1993"/>
      <c r="L13" s="1993"/>
      <c r="M13" s="1993">
        <v>519.09900039639228</v>
      </c>
      <c r="N13" s="1993"/>
      <c r="O13" s="1993"/>
      <c r="P13" s="1995">
        <f>SUM(I13:O13)</f>
        <v>5531.030502409134</v>
      </c>
      <c r="Q13" s="1996" t="s">
        <v>251</v>
      </c>
      <c r="R13" s="1997" t="s">
        <v>651</v>
      </c>
      <c r="S13" s="2011"/>
      <c r="T13" s="1973"/>
      <c r="U13" s="1973"/>
      <c r="V13" s="1973"/>
      <c r="W13" s="1973"/>
    </row>
    <row r="14" spans="1:23" ht="24">
      <c r="A14" s="1969" t="s">
        <v>1089</v>
      </c>
      <c r="B14" s="1990" t="s">
        <v>1090</v>
      </c>
      <c r="C14" s="1969" t="s">
        <v>1091</v>
      </c>
      <c r="D14" s="1991" t="s">
        <v>820</v>
      </c>
      <c r="E14" s="1991" t="s">
        <v>1088</v>
      </c>
      <c r="F14" s="2134">
        <v>-167</v>
      </c>
      <c r="G14" s="1999" t="s">
        <v>1092</v>
      </c>
      <c r="H14" s="1999" t="s">
        <v>1093</v>
      </c>
      <c r="I14" s="2000" t="s">
        <v>251</v>
      </c>
      <c r="J14" s="1993">
        <v>-182.77999999999997</v>
      </c>
      <c r="K14" s="1993"/>
      <c r="L14" s="1993"/>
      <c r="M14" s="1993"/>
      <c r="N14" s="1993">
        <v>0</v>
      </c>
      <c r="O14" s="1993">
        <v>182.77999999999997</v>
      </c>
      <c r="P14" s="2001" t="s">
        <v>251</v>
      </c>
      <c r="Q14" s="2002">
        <f>SUM(J14:O14)</f>
        <v>0</v>
      </c>
      <c r="R14" s="2003" t="s">
        <v>1094</v>
      </c>
      <c r="S14" s="2011"/>
      <c r="T14" s="1973"/>
      <c r="U14" s="1973"/>
      <c r="V14" s="1973"/>
      <c r="W14" s="1973"/>
    </row>
    <row r="15" spans="1:23" ht="24">
      <c r="A15" s="1969" t="s">
        <v>1095</v>
      </c>
      <c r="B15" s="1990" t="s">
        <v>1090</v>
      </c>
      <c r="C15" s="1969" t="s">
        <v>1091</v>
      </c>
      <c r="D15" s="1991" t="s">
        <v>819</v>
      </c>
      <c r="E15" s="1991" t="s">
        <v>1088</v>
      </c>
      <c r="F15" s="2135">
        <v>0</v>
      </c>
      <c r="G15" s="1999" t="s">
        <v>1096</v>
      </c>
      <c r="H15" s="1999" t="s">
        <v>1097</v>
      </c>
      <c r="I15" s="2000"/>
      <c r="J15" s="1993">
        <v>313</v>
      </c>
      <c r="K15" s="1993"/>
      <c r="L15" s="1993"/>
      <c r="M15" s="1993"/>
      <c r="N15" s="1993">
        <v>-313</v>
      </c>
      <c r="O15" s="1993">
        <v>0</v>
      </c>
      <c r="P15" s="2001"/>
      <c r="Q15" s="2002">
        <f>SUM(J15:O15)</f>
        <v>0</v>
      </c>
      <c r="R15" s="2003" t="s">
        <v>1098</v>
      </c>
      <c r="S15" s="2011"/>
      <c r="T15" s="1973"/>
      <c r="U15" s="1973"/>
      <c r="V15" s="1973"/>
      <c r="W15" s="1973"/>
    </row>
    <row r="16" spans="1:23">
      <c r="A16" s="1969" t="s">
        <v>1099</v>
      </c>
      <c r="B16" s="1990" t="s">
        <v>1100</v>
      </c>
      <c r="C16" s="1969" t="s">
        <v>1101</v>
      </c>
      <c r="D16" s="1991" t="s">
        <v>820</v>
      </c>
      <c r="E16" s="1991" t="s">
        <v>1088</v>
      </c>
      <c r="F16" s="2135"/>
      <c r="G16" s="1999"/>
      <c r="H16" s="1999"/>
      <c r="I16" s="1993">
        <v>182.77999999999997</v>
      </c>
      <c r="J16" s="1994"/>
      <c r="K16" s="1993"/>
      <c r="L16" s="1993"/>
      <c r="M16" s="1993">
        <v>130.22000000000003</v>
      </c>
      <c r="N16" s="1993"/>
      <c r="O16" s="1993"/>
      <c r="P16" s="1995">
        <f>SUM(I16:O16)</f>
        <v>313</v>
      </c>
      <c r="Q16" s="1994"/>
      <c r="R16" s="1997" t="s">
        <v>651</v>
      </c>
      <c r="S16" s="2011"/>
      <c r="T16" s="1973"/>
      <c r="U16" s="1973"/>
      <c r="V16" s="1973"/>
      <c r="W16" s="1973"/>
    </row>
    <row r="17" spans="1:23">
      <c r="A17" s="1969" t="s">
        <v>1102</v>
      </c>
      <c r="B17" s="1990" t="s">
        <v>1100</v>
      </c>
      <c r="C17" s="1969" t="s">
        <v>1101</v>
      </c>
      <c r="D17" s="1991" t="s">
        <v>819</v>
      </c>
      <c r="E17" s="1991" t="s">
        <v>1088</v>
      </c>
      <c r="F17" s="2135"/>
      <c r="G17" s="1999"/>
      <c r="H17" s="1999"/>
      <c r="I17" s="1993">
        <v>-313</v>
      </c>
      <c r="J17" s="1994"/>
      <c r="K17" s="1993"/>
      <c r="L17" s="1993"/>
      <c r="M17" s="1993">
        <v>0</v>
      </c>
      <c r="N17" s="1993"/>
      <c r="O17" s="1993"/>
      <c r="P17" s="1995">
        <f>SUM(I17:O17)</f>
        <v>-313</v>
      </c>
      <c r="Q17" s="1994"/>
      <c r="R17" s="1997" t="s">
        <v>651</v>
      </c>
      <c r="S17" s="2011"/>
      <c r="T17" s="1973"/>
      <c r="U17" s="1973"/>
      <c r="V17" s="1973"/>
      <c r="W17" s="1973"/>
    </row>
    <row r="18" spans="1:23" ht="24">
      <c r="A18" s="1969" t="s">
        <v>1103</v>
      </c>
      <c r="B18" s="1990" t="s">
        <v>1104</v>
      </c>
      <c r="C18" s="1969" t="s">
        <v>1105</v>
      </c>
      <c r="D18" s="1991" t="s">
        <v>819</v>
      </c>
      <c r="E18" s="1991" t="s">
        <v>1088</v>
      </c>
      <c r="F18" s="2135">
        <v>5955</v>
      </c>
      <c r="G18" s="1999" t="s">
        <v>1096</v>
      </c>
      <c r="H18" s="1999" t="s">
        <v>1097</v>
      </c>
      <c r="I18" s="2000" t="s">
        <v>251</v>
      </c>
      <c r="J18" s="1993">
        <v>-13460.330769775574</v>
      </c>
      <c r="K18" s="1993"/>
      <c r="L18" s="1993"/>
      <c r="M18" s="1993"/>
      <c r="N18" s="1993">
        <v>-1367.0000000000002</v>
      </c>
      <c r="O18" s="1993">
        <v>-182.77999999999997</v>
      </c>
      <c r="P18" s="2001" t="s">
        <v>251</v>
      </c>
      <c r="Q18" s="2002">
        <f>SUM(J18:O18)</f>
        <v>-15010.110769775574</v>
      </c>
      <c r="R18" s="2003" t="s">
        <v>1098</v>
      </c>
      <c r="S18" s="2011"/>
      <c r="T18" s="1973"/>
      <c r="U18" s="1973"/>
      <c r="V18" s="1973"/>
      <c r="W18" s="1973"/>
    </row>
    <row r="19" spans="1:23">
      <c r="A19" s="1969" t="s">
        <v>1106</v>
      </c>
      <c r="B19" s="2005" t="s">
        <v>1107</v>
      </c>
      <c r="C19" s="1969" t="s">
        <v>1108</v>
      </c>
      <c r="D19" s="1991" t="s">
        <v>819</v>
      </c>
      <c r="E19" s="1991" t="s">
        <v>1088</v>
      </c>
      <c r="F19" s="2134"/>
      <c r="G19" s="1999"/>
      <c r="H19" s="1999"/>
      <c r="I19" s="1993">
        <v>13460.740769775573</v>
      </c>
      <c r="J19" s="1994"/>
      <c r="K19" s="1993"/>
      <c r="L19" s="1993"/>
      <c r="M19" s="1993">
        <v>1549.7800000000002</v>
      </c>
      <c r="N19" s="1993"/>
      <c r="O19" s="1993"/>
      <c r="P19" s="1995">
        <f>SUM(I19:O19)</f>
        <v>15010.520769775574</v>
      </c>
      <c r="Q19" s="2001"/>
      <c r="R19" s="2006" t="s">
        <v>651</v>
      </c>
      <c r="S19" s="2011"/>
      <c r="T19" s="1973"/>
      <c r="U19" s="1973"/>
      <c r="V19" s="1973"/>
      <c r="W19" s="1973"/>
    </row>
    <row r="20" spans="1:23">
      <c r="A20" s="1969" t="s">
        <v>1109</v>
      </c>
      <c r="B20" s="1990" t="s">
        <v>1176</v>
      </c>
      <c r="C20" s="2136" t="s">
        <v>1241</v>
      </c>
      <c r="D20" s="1991" t="s">
        <v>16</v>
      </c>
      <c r="E20" s="1991" t="s">
        <v>1212</v>
      </c>
      <c r="F20" s="2134"/>
      <c r="G20" s="1999"/>
      <c r="H20" s="1999"/>
      <c r="I20" s="1993">
        <v>-37</v>
      </c>
      <c r="J20" s="1994"/>
      <c r="K20" s="1993"/>
      <c r="L20" s="1993"/>
      <c r="M20" s="1993">
        <v>0</v>
      </c>
      <c r="N20" s="1993"/>
      <c r="O20" s="1993"/>
      <c r="P20" s="1995">
        <f>SUM(I20:O20)</f>
        <v>-37</v>
      </c>
      <c r="Q20" s="2001"/>
      <c r="R20" s="2006" t="s">
        <v>651</v>
      </c>
      <c r="S20" s="2011"/>
      <c r="T20" s="1973"/>
      <c r="U20" s="1973"/>
      <c r="V20" s="1973"/>
      <c r="W20" s="1973"/>
    </row>
    <row r="21" spans="1:23" ht="24">
      <c r="A21" s="1969" t="s">
        <v>1177</v>
      </c>
      <c r="B21" s="1990" t="s">
        <v>1104</v>
      </c>
      <c r="C21" s="2136" t="s">
        <v>1242</v>
      </c>
      <c r="D21" s="1991" t="s">
        <v>819</v>
      </c>
      <c r="E21" s="1991" t="s">
        <v>1212</v>
      </c>
      <c r="F21" s="2134">
        <v>-96</v>
      </c>
      <c r="G21" s="1999" t="s">
        <v>1213</v>
      </c>
      <c r="H21" s="1999"/>
      <c r="I21" s="1994"/>
      <c r="J21" s="1993">
        <v>-96</v>
      </c>
      <c r="K21" s="1993"/>
      <c r="L21" s="1993"/>
      <c r="M21" s="1993"/>
      <c r="N21" s="1993">
        <v>0</v>
      </c>
      <c r="O21" s="1993">
        <v>0</v>
      </c>
      <c r="P21" s="2001"/>
      <c r="Q21" s="2002">
        <f>SUM(J21:O21)</f>
        <v>-96</v>
      </c>
      <c r="R21" s="2003" t="s">
        <v>1182</v>
      </c>
      <c r="S21" s="2011"/>
      <c r="T21" s="1973"/>
      <c r="U21" s="1973"/>
      <c r="V21" s="1973"/>
      <c r="W21" s="1973"/>
    </row>
    <row r="22" spans="1:23" ht="24">
      <c r="A22" s="1969" t="s">
        <v>1178</v>
      </c>
      <c r="B22" s="1990" t="s">
        <v>1179</v>
      </c>
      <c r="C22" s="2136" t="s">
        <v>1243</v>
      </c>
      <c r="D22" s="1991" t="s">
        <v>819</v>
      </c>
      <c r="E22" s="1991" t="s">
        <v>1212</v>
      </c>
      <c r="F22" s="2134">
        <v>459</v>
      </c>
      <c r="G22" s="1999" t="s">
        <v>1213</v>
      </c>
      <c r="H22" s="1999"/>
      <c r="I22" s="1994"/>
      <c r="J22" s="1993">
        <v>459</v>
      </c>
      <c r="K22" s="1993"/>
      <c r="L22" s="1993"/>
      <c r="M22" s="1993"/>
      <c r="N22" s="1993">
        <v>0</v>
      </c>
      <c r="O22" s="1993">
        <v>0</v>
      </c>
      <c r="P22" s="2001"/>
      <c r="Q22" s="2002">
        <f>SUM(J22:O22)</f>
        <v>459</v>
      </c>
      <c r="R22" s="2003" t="s">
        <v>1183</v>
      </c>
      <c r="S22" s="2011"/>
      <c r="T22" s="1973"/>
      <c r="U22" s="1973"/>
      <c r="V22" s="1973"/>
      <c r="W22" s="1973"/>
    </row>
    <row r="23" spans="1:23">
      <c r="A23" s="1969" t="s">
        <v>1184</v>
      </c>
      <c r="B23" s="2005" t="s">
        <v>1181</v>
      </c>
      <c r="C23" s="2136" t="s">
        <v>1244</v>
      </c>
      <c r="D23" s="1991" t="s">
        <v>819</v>
      </c>
      <c r="E23" s="1991" t="s">
        <v>1212</v>
      </c>
      <c r="F23" s="2134"/>
      <c r="G23" s="1999"/>
      <c r="H23" s="1999"/>
      <c r="I23" s="1993">
        <v>-459</v>
      </c>
      <c r="J23" s="1994"/>
      <c r="K23" s="1993"/>
      <c r="L23" s="1993"/>
      <c r="M23" s="1993">
        <v>0</v>
      </c>
      <c r="N23" s="1993"/>
      <c r="O23" s="1993"/>
      <c r="P23" s="1995">
        <f>SUM(I23:O23)</f>
        <v>-459</v>
      </c>
      <c r="Q23" s="2001"/>
      <c r="R23" s="2006" t="s">
        <v>651</v>
      </c>
      <c r="S23" s="2011"/>
      <c r="T23" s="1973"/>
      <c r="U23" s="1973"/>
      <c r="V23" s="1973"/>
      <c r="W23" s="1973"/>
    </row>
    <row r="24" spans="1:23">
      <c r="A24" s="1969" t="s">
        <v>1180</v>
      </c>
      <c r="B24" s="2007" t="s">
        <v>1110</v>
      </c>
      <c r="D24" s="1991"/>
      <c r="E24" s="1991"/>
      <c r="F24" s="1998"/>
      <c r="G24" s="1999"/>
      <c r="H24" s="1999"/>
      <c r="I24" s="1993"/>
      <c r="J24" s="1993"/>
      <c r="K24" s="1993"/>
      <c r="L24" s="1993"/>
      <c r="M24" s="1993"/>
      <c r="N24" s="1993"/>
      <c r="O24" s="1993"/>
      <c r="P24" s="1996"/>
      <c r="Q24" s="1995"/>
      <c r="R24" s="2008"/>
      <c r="S24" s="2011"/>
      <c r="T24" s="1973"/>
      <c r="U24" s="1973"/>
      <c r="V24" s="1973"/>
      <c r="W24" s="1973"/>
    </row>
    <row r="25" spans="1:23" ht="15">
      <c r="B25" s="2009"/>
      <c r="C25" s="2009"/>
      <c r="D25" s="2009"/>
      <c r="E25" s="2009"/>
      <c r="F25" s="2009"/>
      <c r="G25" s="2009"/>
      <c r="H25" s="2009"/>
      <c r="I25" s="2009"/>
      <c r="J25" s="2009"/>
      <c r="K25" s="2009"/>
      <c r="L25" s="2009"/>
      <c r="M25" s="2009"/>
      <c r="N25" s="2010"/>
      <c r="O25" s="2010"/>
      <c r="P25" s="2010"/>
      <c r="Q25" s="2010"/>
      <c r="R25" s="2010"/>
      <c r="S25" s="2011"/>
      <c r="T25" s="1973"/>
      <c r="U25" s="1973"/>
      <c r="V25" s="1973"/>
      <c r="W25" s="1973"/>
    </row>
    <row r="26" spans="1:23" s="1973" customFormat="1">
      <c r="A26" s="1969"/>
      <c r="B26" s="1987" t="s">
        <v>1111</v>
      </c>
      <c r="M26" s="2011"/>
      <c r="P26" s="2011"/>
      <c r="Q26" s="2011"/>
      <c r="R26" s="2012"/>
      <c r="S26" s="2011"/>
    </row>
    <row r="27" spans="1:23" ht="11.45" customHeight="1">
      <c r="A27" s="1969" t="s">
        <v>1112</v>
      </c>
      <c r="B27" s="2013">
        <v>182.3</v>
      </c>
      <c r="C27" s="2014" t="s">
        <v>1113</v>
      </c>
      <c r="D27" s="2000" t="s">
        <v>251</v>
      </c>
      <c r="E27" s="1991" t="s">
        <v>1088</v>
      </c>
      <c r="F27" s="2000"/>
      <c r="G27" s="2000" t="s">
        <v>251</v>
      </c>
      <c r="H27" s="2000"/>
      <c r="I27" s="2015">
        <v>0</v>
      </c>
      <c r="J27" s="2000"/>
      <c r="K27" s="1993"/>
      <c r="L27" s="1993"/>
      <c r="M27" s="1993">
        <v>0</v>
      </c>
      <c r="N27" s="2000" t="s">
        <v>251</v>
      </c>
      <c r="O27" s="2000" t="s">
        <v>251</v>
      </c>
      <c r="P27" s="1996">
        <f>SUM(I27:O27)</f>
        <v>0</v>
      </c>
      <c r="Q27" s="2016"/>
      <c r="R27" s="1997" t="s">
        <v>1114</v>
      </c>
      <c r="S27" s="2011"/>
      <c r="T27" s="1973"/>
      <c r="U27" s="1973"/>
      <c r="V27" s="1973"/>
      <c r="W27" s="1973"/>
    </row>
    <row r="28" spans="1:23" ht="11.45" customHeight="1">
      <c r="A28" s="1969" t="s">
        <v>1115</v>
      </c>
      <c r="B28" s="2013">
        <v>2540001</v>
      </c>
      <c r="C28" s="2014" t="s">
        <v>1116</v>
      </c>
      <c r="D28" s="2000" t="s">
        <v>251</v>
      </c>
      <c r="E28" s="1991" t="s">
        <v>1088</v>
      </c>
      <c r="F28" s="2000"/>
      <c r="G28" s="2000" t="s">
        <v>251</v>
      </c>
      <c r="H28" s="2000"/>
      <c r="I28" s="2015">
        <v>-18343.452271788316</v>
      </c>
      <c r="J28" s="2000"/>
      <c r="K28" s="1993"/>
      <c r="L28" s="1993"/>
      <c r="M28" s="1993">
        <v>-2199.0990003963925</v>
      </c>
      <c r="N28" s="2000" t="s">
        <v>251</v>
      </c>
      <c r="O28" s="2000" t="s">
        <v>251</v>
      </c>
      <c r="P28" s="1996">
        <f t="shared" ref="P28:P30" si="0">SUM(I28:O28)</f>
        <v>-20542.551272184708</v>
      </c>
      <c r="Q28" s="2016"/>
      <c r="R28" s="1997" t="s">
        <v>1114</v>
      </c>
      <c r="S28" s="1973"/>
      <c r="T28" s="1973"/>
      <c r="U28" s="1973"/>
      <c r="V28" s="1973"/>
      <c r="W28" s="1973"/>
    </row>
    <row r="29" spans="1:23" ht="11.45" customHeight="1">
      <c r="A29" s="1969" t="s">
        <v>1117</v>
      </c>
      <c r="B29" s="2013">
        <v>2540002</v>
      </c>
      <c r="C29" s="2014" t="s">
        <v>1116</v>
      </c>
      <c r="D29" s="2000"/>
      <c r="E29" s="1991" t="s">
        <v>1212</v>
      </c>
      <c r="F29" s="2000"/>
      <c r="G29" s="2000"/>
      <c r="H29" s="2000"/>
      <c r="I29" s="2015">
        <v>496</v>
      </c>
      <c r="J29" s="2000"/>
      <c r="K29" s="1993"/>
      <c r="L29" s="1993"/>
      <c r="M29" s="1993">
        <v>0</v>
      </c>
      <c r="N29" s="2000"/>
      <c r="O29" s="2000"/>
      <c r="P29" s="1996">
        <f t="shared" si="0"/>
        <v>496</v>
      </c>
      <c r="Q29" s="2016"/>
      <c r="R29" s="1997" t="s">
        <v>1114</v>
      </c>
      <c r="S29" s="1973"/>
      <c r="T29" s="1973"/>
      <c r="U29" s="1973"/>
      <c r="V29" s="1973"/>
      <c r="W29" s="1973"/>
    </row>
    <row r="30" spans="1:23" ht="11.45" customHeight="1">
      <c r="A30" s="1969" t="s">
        <v>1185</v>
      </c>
      <c r="B30" s="2007" t="s">
        <v>1110</v>
      </c>
      <c r="C30" s="2014"/>
      <c r="D30" s="2000"/>
      <c r="E30" s="1991"/>
      <c r="F30" s="2000"/>
      <c r="G30" s="2000"/>
      <c r="H30" s="2000"/>
      <c r="I30" s="1993">
        <v>0</v>
      </c>
      <c r="J30" s="2000"/>
      <c r="K30" s="1993"/>
      <c r="L30" s="1993"/>
      <c r="M30" s="1993"/>
      <c r="N30" s="2000"/>
      <c r="O30" s="2000"/>
      <c r="P30" s="1996">
        <f t="shared" si="0"/>
        <v>0</v>
      </c>
      <c r="Q30" s="2016"/>
      <c r="R30" s="1997"/>
      <c r="S30" s="1973"/>
      <c r="T30" s="1973"/>
      <c r="U30" s="1973"/>
      <c r="V30" s="1973"/>
      <c r="W30" s="1973"/>
    </row>
    <row r="31" spans="1:23">
      <c r="B31" s="2013"/>
      <c r="C31" s="2014"/>
      <c r="D31" s="1977"/>
      <c r="E31" s="1977"/>
      <c r="F31" s="1977"/>
      <c r="G31" s="1977"/>
      <c r="H31" s="1977"/>
      <c r="I31" s="1977"/>
      <c r="J31" s="1977"/>
      <c r="K31" s="1977"/>
      <c r="L31" s="1977"/>
      <c r="M31" s="1977"/>
      <c r="N31" s="1977"/>
      <c r="O31" s="1977"/>
      <c r="P31" s="1977"/>
      <c r="Q31" s="1977"/>
      <c r="R31" s="2017"/>
      <c r="S31" s="1973"/>
      <c r="T31" s="1973"/>
      <c r="U31" s="1973"/>
      <c r="V31" s="1973"/>
      <c r="W31" s="1973"/>
    </row>
    <row r="32" spans="1:23" ht="12.75" thickBot="1">
      <c r="A32" s="2018">
        <v>3</v>
      </c>
      <c r="B32" s="2229" t="str">
        <f>"Total For Accounting Entries (Sum of Lines "&amp;A13&amp;" through "&amp;A30&amp;")"</f>
        <v>Total For Accounting Entries (Sum of Lines 1a through 2d)</v>
      </c>
      <c r="C32" s="2229"/>
      <c r="D32" s="2000"/>
      <c r="E32" s="2000"/>
      <c r="F32" s="2019">
        <f>SUM(F13:F31)</f>
        <v>6151</v>
      </c>
      <c r="G32" s="2000"/>
      <c r="H32" s="2000"/>
      <c r="I32" s="2019">
        <f>SUM(I13:I31)</f>
        <v>-1</v>
      </c>
      <c r="J32" s="2019">
        <f>SUM(J13:J31)</f>
        <v>-12967.110769775574</v>
      </c>
      <c r="K32" s="2019">
        <f>SUM(K13:K31)</f>
        <v>0</v>
      </c>
      <c r="L32" s="2019">
        <f>SUM(L13:L31)</f>
        <v>0</v>
      </c>
      <c r="M32" s="2019">
        <f>SUM(M13:M31)</f>
        <v>0</v>
      </c>
      <c r="N32" s="2019">
        <f>-SUM(N13:N31)</f>
        <v>1680.0000000000002</v>
      </c>
      <c r="O32" s="2019">
        <f>-SUM(O13:O31)</f>
        <v>0</v>
      </c>
      <c r="P32" s="2019">
        <f>SUM(P13:P31)</f>
        <v>-1</v>
      </c>
      <c r="Q32" s="2019">
        <f>SUM(Q13:Q31)</f>
        <v>-14647.110769775574</v>
      </c>
      <c r="R32" s="2023"/>
      <c r="S32" s="1973"/>
      <c r="T32" s="1973"/>
      <c r="U32" s="1973"/>
      <c r="V32" s="1973"/>
      <c r="W32" s="1973"/>
    </row>
    <row r="33" spans="1:23" ht="12.75" thickTop="1">
      <c r="B33" s="2013"/>
      <c r="C33" s="2014"/>
      <c r="D33" s="1977"/>
      <c r="E33" s="1977"/>
      <c r="F33" s="1977"/>
      <c r="G33" s="1977"/>
      <c r="H33" s="1977"/>
      <c r="I33" s="2024"/>
      <c r="J33" s="2004"/>
      <c r="K33" s="2025"/>
      <c r="L33" s="2025"/>
      <c r="M33" s="2025"/>
      <c r="N33" s="2026" t="s">
        <v>1118</v>
      </c>
      <c r="O33" s="2026"/>
      <c r="P33" s="2025"/>
      <c r="Q33" s="2027"/>
      <c r="R33" s="2023"/>
      <c r="S33" s="1973"/>
      <c r="T33" s="1973"/>
      <c r="U33" s="1973"/>
      <c r="V33" s="1973"/>
      <c r="W33" s="1973"/>
    </row>
    <row r="34" spans="1:23" ht="12.95" customHeight="1" thickBot="1">
      <c r="A34" s="2230" t="s">
        <v>1119</v>
      </c>
      <c r="B34" s="2230"/>
      <c r="C34" s="2230"/>
      <c r="D34" s="2230"/>
      <c r="E34" s="2230"/>
      <c r="F34" s="2230"/>
      <c r="G34" s="2230"/>
      <c r="H34" s="2230"/>
      <c r="I34" s="2024"/>
      <c r="J34" s="2004"/>
      <c r="K34" s="2025"/>
      <c r="L34" s="2025"/>
      <c r="M34" s="2025"/>
      <c r="N34" s="2004"/>
      <c r="O34" s="2004"/>
      <c r="P34" s="2025"/>
      <c r="Q34" s="2027"/>
      <c r="R34" s="2023"/>
      <c r="S34" s="1973"/>
      <c r="T34" s="1973"/>
      <c r="U34" s="1973"/>
      <c r="V34" s="1973"/>
      <c r="W34" s="1973"/>
    </row>
    <row r="35" spans="1:23" ht="12.95" customHeight="1" thickTop="1">
      <c r="A35" s="2028" t="s">
        <v>284</v>
      </c>
      <c r="B35" s="2028" t="s">
        <v>285</v>
      </c>
      <c r="C35" s="2028" t="s">
        <v>286</v>
      </c>
      <c r="D35" s="2028" t="s">
        <v>287</v>
      </c>
      <c r="E35" s="2028"/>
      <c r="F35" s="2028" t="s">
        <v>288</v>
      </c>
      <c r="G35" s="2028" t="s">
        <v>289</v>
      </c>
      <c r="H35" s="2028" t="s">
        <v>290</v>
      </c>
      <c r="I35" s="2024"/>
      <c r="J35" s="2004"/>
      <c r="K35" s="2025"/>
      <c r="L35" s="2025"/>
      <c r="M35" s="2025"/>
      <c r="N35" s="2004"/>
      <c r="O35" s="2004"/>
      <c r="P35" s="2025"/>
      <c r="Q35" s="2027"/>
      <c r="R35" s="2023"/>
      <c r="S35" s="1973"/>
      <c r="T35" s="1973"/>
      <c r="U35" s="1973"/>
      <c r="V35" s="1973"/>
      <c r="W35" s="1973"/>
    </row>
    <row r="36" spans="1:23" ht="23.1" customHeight="1">
      <c r="B36" s="2029" t="s">
        <v>1073</v>
      </c>
      <c r="C36" s="2030" t="s">
        <v>1120</v>
      </c>
      <c r="D36" s="2031" t="s">
        <v>1038</v>
      </c>
      <c r="F36" s="2030" t="s">
        <v>1121</v>
      </c>
      <c r="G36" s="2030" t="s">
        <v>1038</v>
      </c>
      <c r="H36" s="2032" t="s">
        <v>1122</v>
      </c>
      <c r="I36" s="2024"/>
      <c r="J36" s="2004"/>
      <c r="K36" s="2025"/>
      <c r="L36" s="2025"/>
      <c r="M36" s="2025"/>
      <c r="N36" s="2004"/>
      <c r="O36" s="2004"/>
      <c r="P36" s="2025"/>
      <c r="Q36" s="2027"/>
      <c r="R36" s="2023"/>
      <c r="S36" s="1973"/>
      <c r="T36" s="1973"/>
      <c r="U36" s="1973"/>
      <c r="V36" s="1973"/>
      <c r="W36" s="1973"/>
    </row>
    <row r="37" spans="1:23">
      <c r="B37" s="1969"/>
      <c r="G37" s="2027"/>
      <c r="H37" s="2023"/>
      <c r="I37" s="2024"/>
      <c r="J37" s="2004"/>
      <c r="K37" s="2025"/>
      <c r="L37" s="2025"/>
      <c r="M37" s="2025"/>
      <c r="N37" s="2004"/>
      <c r="O37" s="2004"/>
      <c r="P37" s="2025"/>
      <c r="Q37" s="2027"/>
      <c r="R37" s="2023"/>
      <c r="S37" s="1973"/>
      <c r="T37" s="1973"/>
      <c r="U37" s="1973"/>
      <c r="V37" s="1973"/>
      <c r="W37" s="1973"/>
    </row>
    <row r="38" spans="1:23">
      <c r="A38" s="2033" t="s">
        <v>1123</v>
      </c>
      <c r="B38" s="1993" t="s">
        <v>1088</v>
      </c>
      <c r="C38" s="2015">
        <f>'SWT WS C-4 Excess FIT'!F20+'SWT WS C-4 Excess FIT'!G20+'SWT WS C-4 Excess FIT'!E37</f>
        <v>1862.0619999999999</v>
      </c>
      <c r="D38" s="1993" t="s">
        <v>1124</v>
      </c>
      <c r="F38" s="1993">
        <f>+N32</f>
        <v>1680.0000000000002</v>
      </c>
      <c r="G38" s="1993" t="s">
        <v>1240</v>
      </c>
      <c r="H38" s="2015">
        <f>C38</f>
        <v>1862.0619999999999</v>
      </c>
      <c r="I38" s="2024"/>
      <c r="J38" s="2004"/>
      <c r="K38" s="2025"/>
      <c r="L38" s="2025"/>
      <c r="M38" s="2025"/>
      <c r="N38" s="2004"/>
      <c r="O38" s="2004"/>
      <c r="P38" s="2025"/>
      <c r="Q38" s="2027"/>
      <c r="R38" s="2023"/>
      <c r="S38" s="1973"/>
      <c r="T38" s="1973"/>
      <c r="U38" s="1973"/>
      <c r="V38" s="1973"/>
      <c r="W38" s="1973"/>
    </row>
    <row r="39" spans="1:23">
      <c r="A39" s="2035" t="s">
        <v>1125</v>
      </c>
      <c r="B39" s="1993"/>
      <c r="C39" s="2015"/>
      <c r="D39" s="1993"/>
      <c r="F39" s="1993"/>
      <c r="G39" s="1993"/>
      <c r="H39" s="2015"/>
      <c r="I39" s="2024"/>
      <c r="J39" s="2004"/>
      <c r="K39" s="2025"/>
      <c r="L39" s="2025"/>
      <c r="M39" s="2025"/>
      <c r="N39" s="2004"/>
      <c r="O39" s="2004"/>
      <c r="P39" s="2025"/>
      <c r="Q39" s="2027"/>
      <c r="R39" s="2023"/>
      <c r="S39" s="1973"/>
      <c r="T39" s="1973"/>
      <c r="U39" s="1973"/>
      <c r="V39" s="1973"/>
      <c r="W39" s="1973"/>
    </row>
    <row r="40" spans="1:23">
      <c r="A40" s="2036" t="s">
        <v>1126</v>
      </c>
      <c r="B40" s="1993"/>
      <c r="C40" s="2015"/>
      <c r="D40" s="1993"/>
      <c r="F40" s="1993"/>
      <c r="G40" s="1993"/>
      <c r="H40" s="2015"/>
      <c r="I40" s="2024"/>
      <c r="J40" s="2004"/>
      <c r="K40" s="2025"/>
      <c r="L40" s="2025"/>
      <c r="M40" s="2025"/>
      <c r="N40" s="2004"/>
      <c r="O40" s="2004"/>
      <c r="P40" s="2025"/>
      <c r="Q40" s="2027"/>
      <c r="R40" s="2023"/>
      <c r="S40" s="1973"/>
      <c r="T40" s="1973"/>
      <c r="U40" s="1973"/>
      <c r="V40" s="1973"/>
      <c r="W40" s="1973"/>
    </row>
    <row r="41" spans="1:23">
      <c r="A41" s="2036" t="s">
        <v>1127</v>
      </c>
      <c r="B41" s="1993"/>
      <c r="C41" s="1993"/>
      <c r="D41" s="1993"/>
      <c r="F41" s="1993"/>
      <c r="G41" s="1993"/>
      <c r="H41" s="1993"/>
      <c r="I41" s="2024"/>
      <c r="J41" s="2004"/>
      <c r="K41" s="2025"/>
      <c r="L41" s="2025"/>
      <c r="M41" s="2025"/>
      <c r="N41" s="2004"/>
      <c r="O41" s="2004"/>
      <c r="P41" s="2025"/>
      <c r="Q41" s="2027"/>
      <c r="R41" s="2023"/>
      <c r="S41" s="1973"/>
      <c r="T41" s="1973"/>
      <c r="U41" s="1973"/>
      <c r="V41" s="1973"/>
      <c r="W41" s="1973"/>
    </row>
    <row r="42" spans="1:23">
      <c r="A42" s="2033" t="s">
        <v>1128</v>
      </c>
      <c r="B42" s="2037" t="s">
        <v>1129</v>
      </c>
      <c r="C42" s="1993"/>
      <c r="D42" s="1993"/>
      <c r="F42" s="1993"/>
      <c r="G42" s="1993"/>
      <c r="H42" s="1993"/>
      <c r="I42" s="2024"/>
      <c r="J42" s="2004"/>
      <c r="K42" s="2025"/>
      <c r="L42" s="2025"/>
      <c r="M42" s="2025"/>
      <c r="N42" s="2004"/>
      <c r="O42" s="2004"/>
      <c r="P42" s="2025"/>
      <c r="Q42" s="2027"/>
      <c r="R42" s="2023"/>
      <c r="S42" s="1973"/>
      <c r="T42" s="1973"/>
      <c r="U42" s="1973"/>
      <c r="V42" s="1973"/>
      <c r="W42" s="1973"/>
    </row>
    <row r="43" spans="1:23" ht="15">
      <c r="A43" s="2038" t="s">
        <v>1130</v>
      </c>
      <c r="B43" s="1969" t="s">
        <v>255</v>
      </c>
      <c r="C43" s="2039">
        <f>SUM(C38:C42)</f>
        <v>1862.0619999999999</v>
      </c>
      <c r="F43" s="2039">
        <f>SUM(F38:F42)</f>
        <v>1680.0000000000002</v>
      </c>
      <c r="G43" s="1937"/>
      <c r="H43" s="2039">
        <f>SUM(H38:H42)</f>
        <v>1862.0619999999999</v>
      </c>
      <c r="I43" s="2231" t="s">
        <v>1131</v>
      </c>
      <c r="J43" s="2004"/>
      <c r="K43" s="2025"/>
      <c r="L43" s="2025"/>
      <c r="M43" s="2025"/>
      <c r="N43" s="2004"/>
      <c r="O43" s="2004"/>
      <c r="P43" s="2025"/>
      <c r="Q43" s="2027"/>
      <c r="R43" s="2023"/>
      <c r="S43" s="1973"/>
      <c r="T43" s="1973"/>
      <c r="U43" s="1973"/>
      <c r="V43" s="1973"/>
      <c r="W43" s="1973"/>
    </row>
    <row r="44" spans="1:23" ht="15">
      <c r="B44" s="1969"/>
      <c r="G44" s="1937"/>
      <c r="H44" s="1977"/>
      <c r="I44" s="2231"/>
      <c r="J44" s="2004"/>
      <c r="K44" s="2025"/>
      <c r="L44" s="2025"/>
      <c r="M44" s="2025"/>
      <c r="N44" s="2004"/>
      <c r="O44" s="2004"/>
      <c r="P44" s="2025"/>
      <c r="Q44" s="2027"/>
      <c r="R44" s="2023"/>
      <c r="S44" s="1973"/>
      <c r="T44" s="1973"/>
      <c r="U44" s="1973"/>
      <c r="V44" s="1973"/>
      <c r="W44" s="1973"/>
    </row>
    <row r="45" spans="1:23">
      <c r="B45" s="2013"/>
      <c r="C45" s="2014"/>
      <c r="D45" s="1977"/>
      <c r="E45" s="1977"/>
      <c r="F45" s="1977"/>
      <c r="G45" s="1977"/>
      <c r="H45" s="1977"/>
      <c r="I45" s="2024"/>
      <c r="J45" s="2004"/>
      <c r="K45" s="2025"/>
      <c r="L45" s="2025"/>
      <c r="M45" s="2025"/>
      <c r="N45" s="2004"/>
      <c r="O45" s="2004"/>
      <c r="P45" s="2025"/>
      <c r="Q45" s="2027"/>
      <c r="R45" s="2023"/>
      <c r="S45" s="1973"/>
      <c r="T45" s="1973"/>
      <c r="U45" s="1973"/>
      <c r="V45" s="1973"/>
      <c r="W45" s="1973"/>
    </row>
    <row r="46" spans="1:23">
      <c r="A46" s="1969" t="s">
        <v>1132</v>
      </c>
      <c r="B46" s="2013"/>
      <c r="C46" s="2014"/>
      <c r="D46" s="1977"/>
      <c r="E46" s="1977"/>
      <c r="F46" s="1977"/>
      <c r="G46" s="1977"/>
      <c r="H46" s="1977"/>
      <c r="I46" s="2024"/>
      <c r="J46" s="2004"/>
      <c r="K46" s="2025"/>
      <c r="M46" s="2025"/>
      <c r="N46" s="2004"/>
      <c r="O46" s="2004"/>
      <c r="P46" s="2025"/>
      <c r="Q46" s="2027"/>
      <c r="R46" s="2023"/>
      <c r="S46" s="1973"/>
      <c r="T46" s="1973"/>
      <c r="U46" s="1973"/>
      <c r="V46" s="1973"/>
      <c r="W46" s="1973"/>
    </row>
    <row r="47" spans="1:23" ht="11.45" customHeight="1">
      <c r="B47" s="2226" t="s">
        <v>1133</v>
      </c>
      <c r="C47" s="2226"/>
      <c r="D47" s="2226"/>
      <c r="E47" s="2226"/>
      <c r="F47" s="2226"/>
      <c r="G47" s="2226"/>
      <c r="H47" s="2226"/>
      <c r="I47" s="2226"/>
      <c r="J47" s="2226"/>
      <c r="K47" s="2040"/>
      <c r="L47" s="2040"/>
      <c r="M47" s="2041"/>
      <c r="N47" s="2041"/>
      <c r="O47" s="2041"/>
      <c r="P47" s="2041"/>
      <c r="Q47" s="2041"/>
      <c r="R47" s="2041"/>
      <c r="S47" s="2041"/>
      <c r="T47" s="2041"/>
      <c r="U47" s="1973"/>
      <c r="V47" s="1973"/>
      <c r="W47" s="1973"/>
    </row>
    <row r="48" spans="1:23" ht="12.95" customHeight="1">
      <c r="B48" s="2226"/>
      <c r="C48" s="2226"/>
      <c r="D48" s="2226"/>
      <c r="E48" s="2226"/>
      <c r="F48" s="2226"/>
      <c r="G48" s="2226"/>
      <c r="H48" s="2226"/>
      <c r="I48" s="2226"/>
      <c r="J48" s="2226"/>
      <c r="K48" s="2040"/>
      <c r="L48" s="2040"/>
      <c r="M48" s="2041"/>
      <c r="N48" s="2041"/>
      <c r="O48" s="2041"/>
      <c r="P48" s="2041"/>
      <c r="Q48" s="2041"/>
      <c r="R48" s="2041"/>
      <c r="S48" s="2041"/>
      <c r="T48" s="2041"/>
      <c r="U48" s="1973"/>
      <c r="V48" s="1973"/>
      <c r="W48" s="1973"/>
    </row>
    <row r="49" spans="1:23" ht="12.75">
      <c r="B49" s="2226"/>
      <c r="C49" s="2226"/>
      <c r="D49" s="2226"/>
      <c r="E49" s="2226"/>
      <c r="F49" s="2226"/>
      <c r="G49" s="2226"/>
      <c r="H49" s="2226"/>
      <c r="I49" s="2226"/>
      <c r="J49" s="2226"/>
      <c r="K49" s="2040"/>
      <c r="L49" s="2040"/>
      <c r="M49" s="2041"/>
      <c r="N49" s="2041"/>
      <c r="O49" s="2041"/>
      <c r="P49" s="2041"/>
      <c r="Q49" s="2041"/>
      <c r="R49" s="2041"/>
      <c r="S49" s="2041"/>
      <c r="T49" s="2041"/>
      <c r="U49" s="1973"/>
      <c r="V49" s="1973"/>
      <c r="W49" s="1973"/>
    </row>
    <row r="50" spans="1:23" ht="12.75">
      <c r="B50" s="1969"/>
      <c r="C50" s="2014"/>
      <c r="D50" s="1977"/>
      <c r="E50" s="1977"/>
      <c r="F50" s="1977"/>
      <c r="G50" s="1977"/>
      <c r="H50" s="1977"/>
      <c r="I50" s="2024"/>
      <c r="J50" s="2027"/>
      <c r="K50" s="2040"/>
      <c r="L50" s="2040"/>
      <c r="S50" s="1973"/>
      <c r="T50" s="1973"/>
      <c r="U50" s="1973"/>
      <c r="V50" s="1973"/>
      <c r="W50" s="1973"/>
    </row>
    <row r="51" spans="1:23" ht="15" customHeight="1">
      <c r="A51" s="2042" t="s">
        <v>1134</v>
      </c>
      <c r="B51" s="2227" t="s">
        <v>1135</v>
      </c>
      <c r="C51" s="2227"/>
      <c r="D51" s="2227"/>
      <c r="E51" s="2227"/>
      <c r="F51" s="2227"/>
      <c r="G51" s="2227"/>
      <c r="H51" s="2227"/>
      <c r="I51" s="2227"/>
      <c r="J51" s="2227"/>
      <c r="K51" s="2040"/>
      <c r="L51" s="2040"/>
      <c r="M51" s="2043"/>
      <c r="N51" s="2043"/>
      <c r="O51" s="2043"/>
      <c r="P51" s="2043"/>
      <c r="Q51" s="2043"/>
      <c r="R51" s="2043"/>
      <c r="S51" s="2043"/>
      <c r="T51" s="2043"/>
    </row>
    <row r="52" spans="1:23" ht="12.75">
      <c r="B52" s="2227"/>
      <c r="C52" s="2227"/>
      <c r="D52" s="2227"/>
      <c r="E52" s="2227"/>
      <c r="F52" s="2227"/>
      <c r="G52" s="2227"/>
      <c r="H52" s="2227"/>
      <c r="I52" s="2227"/>
      <c r="J52" s="2227"/>
      <c r="K52" s="2040"/>
      <c r="L52" s="2040"/>
      <c r="M52" s="2043"/>
      <c r="N52" s="2043"/>
      <c r="O52" s="2043"/>
      <c r="P52" s="2043"/>
      <c r="Q52" s="2043"/>
      <c r="R52" s="2043"/>
      <c r="S52" s="2043"/>
      <c r="T52" s="2043"/>
    </row>
    <row r="53" spans="1:23" ht="12.75">
      <c r="B53" s="2227"/>
      <c r="C53" s="2227"/>
      <c r="D53" s="2227"/>
      <c r="E53" s="2227"/>
      <c r="F53" s="2227"/>
      <c r="G53" s="2227"/>
      <c r="H53" s="2227"/>
      <c r="I53" s="2227"/>
      <c r="J53" s="2227"/>
      <c r="K53" s="2040"/>
      <c r="L53" s="2040"/>
      <c r="M53" s="2043"/>
      <c r="N53" s="2043"/>
      <c r="O53" s="2043"/>
      <c r="P53" s="2043"/>
      <c r="Q53" s="2043"/>
      <c r="R53" s="2043"/>
      <c r="S53" s="2043"/>
      <c r="T53" s="2043"/>
    </row>
    <row r="54" spans="1:23" ht="12.75">
      <c r="B54" s="2227"/>
      <c r="C54" s="2227"/>
      <c r="D54" s="2227"/>
      <c r="E54" s="2227"/>
      <c r="F54" s="2227"/>
      <c r="G54" s="2227"/>
      <c r="H54" s="2227"/>
      <c r="I54" s="2227"/>
      <c r="J54" s="2227"/>
      <c r="K54" s="2040"/>
      <c r="L54" s="2040"/>
      <c r="M54" s="2043"/>
      <c r="N54" s="2043"/>
      <c r="O54" s="2043"/>
      <c r="P54" s="2043"/>
      <c r="Q54" s="2043"/>
      <c r="R54" s="2043"/>
      <c r="S54" s="2043"/>
      <c r="T54" s="2043"/>
    </row>
    <row r="55" spans="1:23" ht="12.75">
      <c r="B55" s="2227"/>
      <c r="C55" s="2227"/>
      <c r="D55" s="2227"/>
      <c r="E55" s="2227"/>
      <c r="F55" s="2227"/>
      <c r="G55" s="2227"/>
      <c r="H55" s="2227"/>
      <c r="I55" s="2227"/>
      <c r="J55" s="2227"/>
      <c r="K55" s="2040"/>
      <c r="L55" s="2040"/>
      <c r="M55" s="2043"/>
      <c r="N55" s="2043"/>
      <c r="O55" s="2043"/>
      <c r="P55" s="2043"/>
      <c r="Q55" s="2043"/>
      <c r="R55" s="2043"/>
      <c r="S55" s="2043"/>
      <c r="T55" s="2043"/>
    </row>
    <row r="56" spans="1:23" ht="12.75">
      <c r="B56" s="2227"/>
      <c r="C56" s="2227"/>
      <c r="D56" s="2227"/>
      <c r="E56" s="2227"/>
      <c r="F56" s="2227"/>
      <c r="G56" s="2227"/>
      <c r="H56" s="2227"/>
      <c r="I56" s="2227"/>
      <c r="J56" s="2227"/>
      <c r="K56" s="2040"/>
      <c r="L56" s="2040"/>
      <c r="M56" s="2043"/>
      <c r="N56" s="2043"/>
      <c r="O56" s="2043"/>
      <c r="P56" s="2043"/>
      <c r="Q56" s="2043"/>
      <c r="R56" s="2043"/>
      <c r="S56" s="2043"/>
      <c r="T56" s="2043"/>
    </row>
    <row r="57" spans="1:23" ht="5.0999999999999996" customHeight="1">
      <c r="B57" s="2044"/>
      <c r="C57" s="2044"/>
      <c r="D57" s="2044"/>
      <c r="E57" s="2044"/>
      <c r="F57" s="2044"/>
      <c r="G57" s="2044"/>
      <c r="H57" s="2044"/>
      <c r="I57" s="2044"/>
      <c r="J57" s="2044"/>
      <c r="K57" s="2040"/>
      <c r="L57" s="2040"/>
      <c r="M57" s="2043"/>
      <c r="N57" s="2043"/>
      <c r="O57" s="2043"/>
      <c r="P57" s="2043"/>
      <c r="Q57" s="2043"/>
      <c r="R57" s="2043"/>
      <c r="S57" s="2043"/>
      <c r="T57" s="2043"/>
    </row>
    <row r="58" spans="1:23" ht="12.6" customHeight="1">
      <c r="A58" s="1969" t="s">
        <v>1136</v>
      </c>
      <c r="B58" s="2043" t="s">
        <v>1137</v>
      </c>
      <c r="C58" s="2043"/>
      <c r="D58" s="2043"/>
      <c r="E58" s="2043"/>
      <c r="F58" s="2043"/>
      <c r="G58" s="2043"/>
      <c r="H58" s="2043"/>
      <c r="I58" s="2043"/>
      <c r="J58" s="2043"/>
      <c r="K58" s="2040"/>
      <c r="L58" s="2040"/>
      <c r="M58" s="2043"/>
      <c r="N58" s="2043"/>
      <c r="O58" s="2043"/>
      <c r="P58" s="2043"/>
      <c r="Q58" s="2043"/>
      <c r="R58" s="2043"/>
      <c r="S58" s="2043"/>
      <c r="T58" s="2043"/>
    </row>
    <row r="59" spans="1:23" ht="5.0999999999999996" customHeight="1">
      <c r="B59" s="2043"/>
      <c r="C59" s="2043"/>
      <c r="D59" s="2043"/>
      <c r="E59" s="2043"/>
      <c r="F59" s="2043"/>
      <c r="G59" s="2043"/>
      <c r="H59" s="2043"/>
      <c r="I59" s="2043"/>
      <c r="J59" s="2044"/>
      <c r="K59" s="2040"/>
      <c r="L59" s="2040"/>
      <c r="M59" s="2043"/>
      <c r="N59" s="2043"/>
      <c r="O59" s="2043"/>
      <c r="P59" s="2043"/>
      <c r="Q59" s="2043"/>
      <c r="R59" s="2043"/>
      <c r="S59" s="2043"/>
      <c r="T59" s="2043"/>
    </row>
    <row r="60" spans="1:23" s="1988" customFormat="1" ht="12.6" customHeight="1">
      <c r="A60" s="1969" t="s">
        <v>1138</v>
      </c>
      <c r="B60" s="2232" t="s">
        <v>1139</v>
      </c>
      <c r="C60" s="2232"/>
      <c r="D60" s="2232"/>
      <c r="E60" s="2232"/>
      <c r="F60" s="2232"/>
      <c r="G60" s="2232"/>
      <c r="H60" s="2232"/>
      <c r="I60" s="2232"/>
      <c r="J60" s="2041"/>
      <c r="K60" s="2040"/>
      <c r="L60" s="2040"/>
      <c r="M60" s="2043"/>
      <c r="N60" s="2043"/>
      <c r="O60" s="2043"/>
      <c r="P60" s="2043"/>
      <c r="Q60" s="2043"/>
      <c r="R60" s="2043"/>
      <c r="S60" s="2043"/>
      <c r="T60" s="2041"/>
    </row>
    <row r="61" spans="1:23" ht="12.75">
      <c r="B61" s="2232"/>
      <c r="C61" s="2232"/>
      <c r="D61" s="2232"/>
      <c r="E61" s="2232"/>
      <c r="F61" s="2232"/>
      <c r="G61" s="2232"/>
      <c r="H61" s="2232"/>
      <c r="I61" s="2232"/>
      <c r="J61" s="2044"/>
      <c r="K61" s="2040"/>
      <c r="L61" s="2040"/>
      <c r="M61" s="2043"/>
      <c r="N61" s="2043"/>
      <c r="O61" s="2043"/>
      <c r="P61" s="2043"/>
      <c r="Q61" s="2043"/>
      <c r="R61" s="2043"/>
      <c r="S61" s="2043"/>
      <c r="T61" s="2043"/>
    </row>
    <row r="62" spans="1:23" ht="5.0999999999999996" customHeight="1">
      <c r="B62" s="2044"/>
      <c r="C62" s="2044"/>
      <c r="D62" s="2044"/>
      <c r="E62" s="2044"/>
      <c r="F62" s="2044"/>
      <c r="G62" s="2044"/>
      <c r="H62" s="2044"/>
      <c r="I62" s="2044"/>
      <c r="J62" s="2044"/>
      <c r="K62" s="2040"/>
      <c r="L62" s="2040"/>
      <c r="M62" s="2043"/>
      <c r="N62" s="2043"/>
      <c r="O62" s="2043"/>
      <c r="P62" s="2043"/>
      <c r="Q62" s="2043"/>
      <c r="R62" s="2043"/>
      <c r="S62" s="2043"/>
      <c r="T62" s="2043"/>
    </row>
    <row r="63" spans="1:23" ht="11.45" customHeight="1">
      <c r="A63" s="1969" t="s">
        <v>1140</v>
      </c>
      <c r="B63" s="2226" t="s">
        <v>1141</v>
      </c>
      <c r="C63" s="2226"/>
      <c r="D63" s="2226"/>
      <c r="E63" s="2226"/>
      <c r="F63" s="2226"/>
      <c r="G63" s="2226"/>
      <c r="H63" s="2226"/>
      <c r="I63" s="2226"/>
      <c r="J63" s="2226"/>
      <c r="K63" s="2040"/>
      <c r="L63" s="2040"/>
      <c r="M63" s="2041"/>
      <c r="N63" s="2041"/>
      <c r="O63" s="2041"/>
      <c r="P63" s="2041"/>
      <c r="Q63" s="2041"/>
      <c r="R63" s="2041"/>
      <c r="S63" s="2041"/>
      <c r="T63" s="2041"/>
    </row>
    <row r="64" spans="1:23" ht="12.75">
      <c r="B64" s="2226"/>
      <c r="C64" s="2226"/>
      <c r="D64" s="2226"/>
      <c r="E64" s="2226"/>
      <c r="F64" s="2226"/>
      <c r="G64" s="2226"/>
      <c r="H64" s="2226"/>
      <c r="I64" s="2226"/>
      <c r="J64" s="2226"/>
      <c r="K64" s="2040"/>
      <c r="L64" s="2040"/>
      <c r="M64" s="2041"/>
      <c r="N64" s="2041"/>
      <c r="O64" s="2041"/>
      <c r="P64" s="2041"/>
      <c r="Q64" s="2041"/>
      <c r="R64" s="2041"/>
      <c r="S64" s="2041"/>
      <c r="T64" s="2041"/>
    </row>
    <row r="65" spans="1:20" ht="8.1" customHeight="1">
      <c r="B65" s="2045"/>
      <c r="C65" s="2044"/>
      <c r="D65" s="2044"/>
      <c r="E65" s="2044"/>
      <c r="F65" s="2044"/>
      <c r="G65" s="2044"/>
      <c r="H65" s="2044"/>
      <c r="I65" s="2044"/>
      <c r="J65" s="2044"/>
      <c r="K65" s="2040"/>
      <c r="L65" s="2040"/>
      <c r="M65" s="2043"/>
      <c r="N65" s="2043"/>
      <c r="O65" s="2043"/>
      <c r="P65" s="2043"/>
      <c r="Q65" s="2043"/>
      <c r="R65" s="2043"/>
      <c r="S65" s="2043"/>
      <c r="T65" s="2043"/>
    </row>
    <row r="66" spans="1:20" ht="12.75">
      <c r="A66" s="1969" t="s">
        <v>1142</v>
      </c>
      <c r="B66" s="2045" t="s">
        <v>1143</v>
      </c>
      <c r="C66" s="2044"/>
      <c r="D66" s="2044"/>
      <c r="E66" s="2044"/>
      <c r="F66" s="2044"/>
      <c r="G66" s="2044"/>
      <c r="H66" s="2044"/>
      <c r="I66" s="2044"/>
      <c r="J66" s="2044"/>
      <c r="K66" s="2040"/>
      <c r="L66" s="2040"/>
      <c r="M66" s="2043"/>
      <c r="N66" s="2043"/>
      <c r="O66" s="2043"/>
      <c r="P66" s="2043"/>
      <c r="Q66" s="2043"/>
      <c r="R66" s="2043"/>
      <c r="S66" s="2043"/>
      <c r="T66" s="2043"/>
    </row>
    <row r="67" spans="1:20" ht="8.1" customHeight="1">
      <c r="B67" s="2045"/>
      <c r="C67" s="2044"/>
      <c r="D67" s="2044"/>
      <c r="E67" s="2044"/>
      <c r="F67" s="2044"/>
      <c r="G67" s="2044"/>
      <c r="H67" s="2044"/>
      <c r="I67" s="2044"/>
      <c r="J67" s="2044"/>
      <c r="K67" s="2040"/>
      <c r="L67" s="2040"/>
      <c r="M67" s="2043"/>
      <c r="N67" s="2043"/>
      <c r="O67" s="2043"/>
      <c r="P67" s="2043"/>
      <c r="Q67" s="2043"/>
      <c r="R67" s="2043"/>
      <c r="S67" s="2043"/>
      <c r="T67" s="2043"/>
    </row>
    <row r="68" spans="1:20" ht="11.45" customHeight="1">
      <c r="A68" s="2018" t="s">
        <v>1144</v>
      </c>
      <c r="B68" s="2227" t="str">
        <f>"The amount of excess amortization entries shown in lines "&amp;A13&amp;" through "&amp;A24&amp;"  are shown as a debit or credit to the ADIT account from which it is being amortized.  The total in line "&amp;A32&amp;" is the offset as charged to the 410/411 account."</f>
        <v>The amount of excess amortization entries shown in lines 1a through 1l  are shown as a debit or credit to the ADIT account from which it is being amortized.  The total in line 3 is the offset as charged to the 410/411 account.</v>
      </c>
      <c r="C68" s="2227"/>
      <c r="D68" s="2227"/>
      <c r="E68" s="2227"/>
      <c r="F68" s="2227"/>
      <c r="G68" s="2227"/>
      <c r="H68" s="2227"/>
      <c r="I68" s="2227"/>
      <c r="J68" s="2044"/>
      <c r="K68" s="2040"/>
      <c r="L68" s="2040"/>
      <c r="M68" s="2043"/>
      <c r="N68" s="2043"/>
      <c r="O68" s="2043"/>
      <c r="P68" s="2043"/>
      <c r="Q68" s="2043"/>
      <c r="R68" s="2043"/>
      <c r="S68" s="2043"/>
      <c r="T68" s="2043"/>
    </row>
    <row r="69" spans="1:20" ht="11.45" customHeight="1">
      <c r="B69" s="2227"/>
      <c r="C69" s="2227"/>
      <c r="D69" s="2227"/>
      <c r="E69" s="2227"/>
      <c r="F69" s="2227"/>
      <c r="G69" s="2227"/>
      <c r="H69" s="2227"/>
      <c r="I69" s="2227"/>
      <c r="J69" s="2044"/>
      <c r="K69" s="2040"/>
      <c r="L69" s="2040"/>
      <c r="M69" s="2043"/>
      <c r="N69" s="2043"/>
      <c r="O69" s="2043"/>
      <c r="P69" s="2043"/>
      <c r="Q69" s="2043"/>
      <c r="R69" s="2043"/>
      <c r="S69" s="2043"/>
      <c r="T69" s="2043"/>
    </row>
    <row r="70" spans="1:20" ht="12.75">
      <c r="K70" s="2040"/>
      <c r="L70" s="2040"/>
      <c r="M70" s="2046"/>
      <c r="N70" s="2046"/>
      <c r="O70" s="2046"/>
      <c r="P70" s="2046"/>
      <c r="Q70" s="2046"/>
      <c r="R70" s="2046"/>
      <c r="S70" s="2046"/>
      <c r="T70" s="2046"/>
    </row>
    <row r="71" spans="1:20" ht="11.45" customHeight="1">
      <c r="A71" s="1969" t="s">
        <v>1145</v>
      </c>
      <c r="B71" s="2234" t="s">
        <v>1146</v>
      </c>
      <c r="C71" s="2234"/>
      <c r="D71" s="2234"/>
      <c r="E71" s="2234"/>
      <c r="F71" s="2234"/>
      <c r="G71" s="2234"/>
      <c r="H71" s="2234"/>
      <c r="I71" s="2234"/>
      <c r="J71" s="1965"/>
      <c r="K71" s="2040"/>
      <c r="L71" s="2040"/>
      <c r="M71" s="2043"/>
      <c r="N71" s="2043"/>
      <c r="O71" s="2043"/>
      <c r="P71" s="2043"/>
      <c r="Q71" s="2043"/>
      <c r="R71" s="2043"/>
      <c r="S71" s="2043"/>
      <c r="T71" s="2046"/>
    </row>
    <row r="72" spans="1:20" ht="12.75">
      <c r="B72" s="2234"/>
      <c r="C72" s="2234"/>
      <c r="D72" s="2234"/>
      <c r="E72" s="2234"/>
      <c r="F72" s="2234"/>
      <c r="G72" s="2234"/>
      <c r="H72" s="2234"/>
      <c r="I72" s="2234"/>
      <c r="J72" s="1965"/>
      <c r="K72" s="2040"/>
      <c r="L72" s="2040"/>
      <c r="M72" s="2043"/>
      <c r="N72" s="2043"/>
      <c r="O72" s="2043"/>
      <c r="P72" s="2043"/>
      <c r="Q72" s="2043"/>
      <c r="R72" s="2043"/>
      <c r="S72" s="2043"/>
      <c r="T72" s="2046"/>
    </row>
    <row r="73" spans="1:20" ht="12.75">
      <c r="B73" s="2234"/>
      <c r="C73" s="2234"/>
      <c r="D73" s="2234"/>
      <c r="E73" s="2234"/>
      <c r="F73" s="2234"/>
      <c r="G73" s="2234"/>
      <c r="H73" s="2234"/>
      <c r="I73" s="2234"/>
      <c r="J73" s="1965"/>
    </row>
    <row r="74" spans="1:20" ht="12.75">
      <c r="A74" s="2040" t="s">
        <v>1147</v>
      </c>
      <c r="B74" s="2047" t="s">
        <v>1148</v>
      </c>
      <c r="C74" s="2048"/>
      <c r="D74" s="2048"/>
      <c r="E74" s="2048"/>
      <c r="F74" s="2048"/>
      <c r="G74" s="2048"/>
      <c r="H74" s="2048"/>
      <c r="I74" s="2048"/>
      <c r="J74" s="2048"/>
    </row>
    <row r="75" spans="1:20" ht="12.75">
      <c r="A75" s="2040"/>
      <c r="B75" s="1965"/>
      <c r="C75" s="2048"/>
      <c r="D75" s="2048"/>
      <c r="E75" s="2048"/>
      <c r="F75" s="2048"/>
      <c r="G75" s="2048"/>
      <c r="H75" s="2048"/>
      <c r="I75" s="2048"/>
      <c r="J75" s="2048"/>
    </row>
    <row r="76" spans="1:20">
      <c r="A76" s="1969" t="s">
        <v>1149</v>
      </c>
      <c r="B76" s="2228" t="s">
        <v>1150</v>
      </c>
      <c r="C76" s="2228"/>
      <c r="D76" s="2228"/>
      <c r="E76" s="2228"/>
      <c r="F76" s="2228"/>
      <c r="G76" s="2228"/>
      <c r="H76" s="2228"/>
      <c r="I76" s="2228"/>
      <c r="J76" s="2228"/>
    </row>
    <row r="77" spans="1:20">
      <c r="B77" s="2228"/>
      <c r="C77" s="2228"/>
      <c r="D77" s="2228"/>
      <c r="E77" s="2228"/>
      <c r="F77" s="2228"/>
      <c r="G77" s="2228"/>
      <c r="H77" s="2228"/>
      <c r="I77" s="2228"/>
      <c r="J77" s="2228"/>
      <c r="K77" s="2042"/>
    </row>
    <row r="78" spans="1:20" ht="12.75">
      <c r="A78" s="2042"/>
      <c r="B78" s="2049"/>
      <c r="C78" s="2049"/>
      <c r="D78" s="2049"/>
      <c r="E78" s="2049"/>
      <c r="F78" s="2049"/>
      <c r="G78" s="2049"/>
      <c r="H78" s="2049"/>
      <c r="I78" s="2049"/>
      <c r="J78" s="2049"/>
      <c r="K78" s="2042"/>
    </row>
    <row r="79" spans="1:20" ht="12.75">
      <c r="B79" s="2050"/>
      <c r="C79" s="1965"/>
      <c r="D79" s="2049"/>
      <c r="E79" s="2049"/>
      <c r="F79" s="2049"/>
      <c r="G79" s="2049"/>
      <c r="H79" s="2049"/>
      <c r="I79" s="2049"/>
      <c r="J79" s="2049"/>
      <c r="K79" s="2042"/>
    </row>
    <row r="80" spans="1:20" ht="12.75">
      <c r="A80" s="2042"/>
      <c r="B80" s="2049"/>
      <c r="C80" s="2049"/>
      <c r="D80" s="2049"/>
      <c r="E80" s="2049"/>
      <c r="F80" s="2049"/>
      <c r="G80" s="2049"/>
      <c r="H80" s="2049"/>
      <c r="I80" s="2049"/>
      <c r="J80" s="2049"/>
      <c r="K80" s="2042"/>
    </row>
    <row r="81" spans="1:11" ht="12.75">
      <c r="A81" s="2042"/>
      <c r="B81" s="2049"/>
      <c r="C81" s="2049"/>
      <c r="D81" s="2049"/>
      <c r="E81" s="2049"/>
      <c r="F81" s="2049"/>
      <c r="G81" s="2049"/>
      <c r="H81" s="2049"/>
      <c r="I81" s="2049"/>
      <c r="J81" s="2049"/>
      <c r="K81" s="2042"/>
    </row>
    <row r="82" spans="1:11">
      <c r="A82" s="2042"/>
      <c r="B82" s="2042"/>
      <c r="C82" s="2042"/>
      <c r="D82" s="2042"/>
      <c r="E82" s="2042"/>
      <c r="F82" s="2042"/>
      <c r="G82" s="2042"/>
      <c r="H82" s="2042"/>
      <c r="I82" s="2042"/>
      <c r="J82" s="2042"/>
      <c r="K82" s="2042"/>
    </row>
    <row r="83" spans="1:11">
      <c r="A83" s="2042"/>
      <c r="B83" s="2042"/>
      <c r="C83" s="2042"/>
      <c r="D83" s="2042"/>
      <c r="E83" s="2042"/>
      <c r="F83" s="2042"/>
      <c r="G83" s="2042"/>
      <c r="H83" s="2042"/>
      <c r="I83" s="2042"/>
      <c r="J83" s="2042"/>
      <c r="K83" s="2042"/>
    </row>
    <row r="84" spans="1:11">
      <c r="A84" s="2042"/>
      <c r="B84" s="2042"/>
      <c r="C84" s="2042"/>
      <c r="D84" s="2042"/>
      <c r="E84" s="2042"/>
      <c r="F84" s="2042"/>
      <c r="G84" s="2042"/>
      <c r="H84" s="2042"/>
      <c r="I84" s="2042"/>
      <c r="J84" s="2042"/>
      <c r="K84" s="2042"/>
    </row>
    <row r="85" spans="1:11">
      <c r="A85" s="2042"/>
      <c r="B85" s="2042"/>
      <c r="C85" s="2042"/>
      <c r="D85" s="2042"/>
      <c r="E85" s="2042"/>
      <c r="F85" s="2042"/>
      <c r="G85" s="2042"/>
      <c r="H85" s="2042"/>
      <c r="I85" s="2042"/>
      <c r="J85" s="2042"/>
      <c r="K85" s="2042"/>
    </row>
    <row r="86" spans="1:11">
      <c r="A86" s="2042"/>
      <c r="B86" s="2042"/>
      <c r="C86" s="2042"/>
      <c r="D86" s="2042"/>
      <c r="E86" s="2042"/>
      <c r="F86" s="2042"/>
      <c r="G86" s="2042"/>
      <c r="H86" s="2042"/>
      <c r="I86" s="2042"/>
      <c r="J86" s="2042"/>
      <c r="K86" s="2042"/>
    </row>
    <row r="87" spans="1:11">
      <c r="A87" s="2042"/>
      <c r="B87" s="2042"/>
      <c r="C87" s="2042"/>
      <c r="D87" s="2042"/>
      <c r="E87" s="2042"/>
      <c r="F87" s="2042"/>
      <c r="G87" s="2042"/>
      <c r="H87" s="2042"/>
      <c r="I87" s="2042"/>
      <c r="J87" s="2042"/>
      <c r="K87" s="2042"/>
    </row>
    <row r="94" spans="1:11">
      <c r="B94" s="2018"/>
    </row>
    <row r="95" spans="1:11">
      <c r="B95" s="2046"/>
    </row>
    <row r="96" spans="1:11">
      <c r="B96" s="2046"/>
    </row>
    <row r="97" spans="1:11">
      <c r="B97" s="2046"/>
    </row>
    <row r="98" spans="1:11">
      <c r="B98" s="2046"/>
      <c r="D98" s="1988"/>
      <c r="E98" s="1988"/>
      <c r="F98" s="1988"/>
    </row>
    <row r="99" spans="1:11">
      <c r="A99" s="2051"/>
      <c r="B99" s="2042"/>
      <c r="C99" s="2042"/>
      <c r="D99" s="2042"/>
      <c r="E99" s="2042"/>
      <c r="F99" s="2042"/>
      <c r="G99" s="2042"/>
      <c r="H99" s="2042"/>
      <c r="I99" s="2042"/>
      <c r="J99" s="2042"/>
      <c r="K99" s="2042"/>
    </row>
    <row r="100" spans="1:11">
      <c r="A100" s="2042"/>
      <c r="B100" s="2042"/>
      <c r="C100" s="2042"/>
      <c r="D100" s="2042"/>
      <c r="E100" s="2042"/>
      <c r="F100" s="2042"/>
      <c r="G100" s="2042"/>
      <c r="H100" s="2042"/>
      <c r="I100" s="2042"/>
      <c r="J100" s="2042"/>
      <c r="K100" s="2042"/>
    </row>
    <row r="101" spans="1:11">
      <c r="A101" s="2042"/>
      <c r="B101" s="2042"/>
      <c r="C101" s="2042"/>
      <c r="D101" s="2042"/>
      <c r="E101" s="2042"/>
      <c r="F101" s="2042"/>
      <c r="G101" s="2042"/>
      <c r="H101" s="2042"/>
      <c r="I101" s="2042"/>
      <c r="J101" s="2042"/>
      <c r="K101" s="2042"/>
    </row>
    <row r="102" spans="1:11">
      <c r="A102" s="2042"/>
      <c r="B102" s="2042"/>
      <c r="C102" s="2042"/>
      <c r="D102" s="2042"/>
      <c r="E102" s="2042"/>
      <c r="F102" s="2042"/>
      <c r="G102" s="2042"/>
      <c r="H102" s="2042"/>
      <c r="I102" s="2042"/>
      <c r="J102" s="2042"/>
      <c r="K102" s="2042"/>
    </row>
    <row r="103" spans="1:11">
      <c r="A103" s="2042"/>
      <c r="B103" s="2042"/>
      <c r="C103" s="2042"/>
      <c r="D103" s="2052"/>
      <c r="E103" s="2052"/>
      <c r="F103" s="2052"/>
      <c r="G103" s="2042"/>
      <c r="H103" s="2042"/>
      <c r="I103" s="2042"/>
      <c r="J103" s="2042"/>
      <c r="K103" s="2042"/>
    </row>
    <row r="104" spans="1:11">
      <c r="A104" s="2042"/>
      <c r="B104" s="2042"/>
      <c r="C104" s="2042"/>
      <c r="D104" s="2034"/>
      <c r="E104" s="2034"/>
      <c r="F104" s="2034"/>
      <c r="G104" s="2042"/>
      <c r="H104" s="2042"/>
      <c r="I104" s="2042"/>
      <c r="J104" s="2042"/>
      <c r="K104" s="2042"/>
    </row>
    <row r="105" spans="1:11">
      <c r="A105" s="2042"/>
      <c r="B105" s="2042"/>
      <c r="C105" s="2042"/>
      <c r="D105" s="2052"/>
      <c r="E105" s="2052"/>
      <c r="F105" s="2052"/>
      <c r="G105" s="2042"/>
      <c r="H105" s="2042"/>
      <c r="I105" s="2042"/>
      <c r="J105" s="2042"/>
      <c r="K105" s="2042"/>
    </row>
    <row r="106" spans="1:11">
      <c r="A106" s="2042"/>
      <c r="B106" s="2042"/>
      <c r="C106" s="2042"/>
      <c r="D106" s="2042"/>
      <c r="E106" s="2042"/>
      <c r="F106" s="2042"/>
      <c r="G106" s="2042"/>
      <c r="H106" s="2042"/>
      <c r="I106" s="2042"/>
      <c r="J106" s="2042"/>
      <c r="K106" s="2042"/>
    </row>
    <row r="107" spans="1:11">
      <c r="A107" s="2042"/>
      <c r="B107" s="2042"/>
      <c r="C107" s="2042"/>
      <c r="D107" s="2042"/>
      <c r="E107" s="2042"/>
      <c r="F107" s="2042"/>
      <c r="G107" s="2042"/>
      <c r="H107" s="2042"/>
      <c r="I107" s="2042"/>
      <c r="J107" s="2042"/>
      <c r="K107" s="2042"/>
    </row>
    <row r="108" spans="1:11">
      <c r="A108" s="2042"/>
      <c r="B108" s="2042"/>
      <c r="C108" s="2042"/>
      <c r="D108" s="2042"/>
      <c r="E108" s="2042"/>
      <c r="F108" s="2042"/>
      <c r="G108" s="2042"/>
      <c r="H108" s="2042"/>
      <c r="I108" s="2042"/>
      <c r="J108" s="2042"/>
      <c r="K108" s="2042"/>
    </row>
    <row r="109" spans="1:11">
      <c r="A109" s="2042"/>
      <c r="C109" s="2042"/>
      <c r="D109" s="2042"/>
      <c r="E109" s="2042"/>
      <c r="F109" s="2042"/>
      <c r="G109" s="2042"/>
      <c r="H109" s="2042"/>
      <c r="I109" s="2042"/>
      <c r="J109" s="2042"/>
      <c r="K109" s="2042"/>
    </row>
    <row r="110" spans="1:11">
      <c r="A110" s="2042"/>
      <c r="B110" s="2042"/>
      <c r="C110" s="2042"/>
      <c r="D110" s="2042"/>
      <c r="E110" s="2042"/>
      <c r="F110" s="2042"/>
      <c r="G110" s="2042"/>
      <c r="H110" s="2042"/>
      <c r="I110" s="2042"/>
      <c r="J110" s="2042"/>
      <c r="K110" s="2042"/>
    </row>
    <row r="111" spans="1:11">
      <c r="A111" s="2042"/>
      <c r="B111" s="2042"/>
      <c r="C111" s="2042"/>
      <c r="D111" s="2042"/>
      <c r="E111" s="2042"/>
      <c r="F111" s="2042"/>
      <c r="G111" s="2042"/>
      <c r="H111" s="2042"/>
      <c r="I111" s="2042"/>
      <c r="J111" s="2042"/>
      <c r="K111" s="2042"/>
    </row>
  </sheetData>
  <mergeCells count="16">
    <mergeCell ref="B63:J64"/>
    <mergeCell ref="B68:I69"/>
    <mergeCell ref="B71:I72"/>
    <mergeCell ref="B73:I73"/>
    <mergeCell ref="B76:J77"/>
    <mergeCell ref="B60:I61"/>
    <mergeCell ref="I9:J9"/>
    <mergeCell ref="K9:M9"/>
    <mergeCell ref="N9:O9"/>
    <mergeCell ref="P9:Q9"/>
    <mergeCell ref="P11:Q11"/>
    <mergeCell ref="B32:C32"/>
    <mergeCell ref="A34:H34"/>
    <mergeCell ref="I43:I44"/>
    <mergeCell ref="B47:J49"/>
    <mergeCell ref="B51:J56"/>
  </mergeCells>
  <pageMargins left="0.7" right="0.7" top="0.75" bottom="0.75" header="0.3" footer="0.3"/>
  <pageSetup paperSize="5"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1"/>
  <sheetViews>
    <sheetView workbookViewId="0">
      <selection activeCell="E20" sqref="E20"/>
    </sheetView>
  </sheetViews>
  <sheetFormatPr defaultColWidth="11.85546875" defaultRowHeight="12.75"/>
  <cols>
    <col min="1" max="1" width="9" style="1934" customWidth="1"/>
    <col min="2" max="2" width="15" style="1935" bestFit="1" customWidth="1"/>
    <col min="3" max="3" width="4.140625" style="1935" customWidth="1"/>
    <col min="4" max="4" width="21" style="1935" bestFit="1" customWidth="1"/>
    <col min="5" max="5" width="29.7109375" style="1935" bestFit="1" customWidth="1"/>
    <col min="6" max="6" width="18.28515625" style="1935" customWidth="1"/>
    <col min="7" max="7" width="13.5703125" style="1935" customWidth="1"/>
    <col min="8" max="8" width="15" style="1935" customWidth="1"/>
    <col min="9" max="9" width="1.140625" style="1935" customWidth="1"/>
    <col min="10" max="10" width="16.85546875" style="1935" customWidth="1"/>
    <col min="11" max="11" width="17.140625" style="1935" customWidth="1"/>
    <col min="12" max="12" width="15.42578125" style="1935" customWidth="1"/>
    <col min="13" max="13" width="22.7109375" style="1935" customWidth="1"/>
    <col min="14" max="14" width="1.140625" style="1935" customWidth="1"/>
    <col min="15" max="15" width="19.140625" style="1935" bestFit="1" customWidth="1"/>
    <col min="16" max="16" width="1.140625" style="1948" customWidth="1"/>
    <col min="17" max="17" width="15.28515625" style="1935" bestFit="1" customWidth="1"/>
    <col min="18" max="18" width="1.140625" style="1935" customWidth="1"/>
    <col min="19" max="19" width="14.28515625" style="1935" customWidth="1"/>
    <col min="20" max="20" width="22" style="1935" bestFit="1" customWidth="1"/>
    <col min="21" max="16384" width="11.85546875" style="1935"/>
  </cols>
  <sheetData>
    <row r="1" spans="1:22" ht="15">
      <c r="A1" s="1934" t="s">
        <v>1027</v>
      </c>
      <c r="L1" s="1936"/>
      <c r="M1" s="1937"/>
      <c r="N1" s="1937"/>
      <c r="O1" s="1937"/>
      <c r="P1" s="1937"/>
      <c r="Q1" s="1937"/>
      <c r="R1" s="1937"/>
      <c r="S1" s="1937"/>
      <c r="T1" s="1937"/>
      <c r="U1" s="1937"/>
    </row>
    <row r="2" spans="1:22" ht="15">
      <c r="A2" s="1934" t="s">
        <v>1028</v>
      </c>
      <c r="L2" s="1936"/>
      <c r="M2" s="1937"/>
      <c r="N2" s="1937"/>
      <c r="O2" s="1937"/>
      <c r="P2" s="1937"/>
      <c r="Q2" s="1937"/>
      <c r="R2" s="1937"/>
      <c r="S2" s="1937"/>
      <c r="T2" s="1937"/>
      <c r="U2" s="1937"/>
    </row>
    <row r="3" spans="1:22" ht="15">
      <c r="A3" s="1934" t="s">
        <v>1029</v>
      </c>
      <c r="L3" s="1936"/>
      <c r="M3" s="1937"/>
      <c r="N3" s="1937"/>
      <c r="O3" s="1937"/>
      <c r="P3" s="1937"/>
      <c r="Q3" s="1937"/>
      <c r="R3" s="1937"/>
      <c r="S3" s="1937"/>
      <c r="T3" s="1937"/>
      <c r="U3" s="1937"/>
    </row>
    <row r="4" spans="1:22" ht="15">
      <c r="A4" s="1934" t="s">
        <v>1030</v>
      </c>
      <c r="M4" s="1937"/>
      <c r="N4" s="1937"/>
      <c r="O4" s="1937"/>
      <c r="P4" s="1937"/>
      <c r="Q4" s="1937"/>
      <c r="R4" s="1937"/>
      <c r="S4" s="1937"/>
      <c r="T4" s="1937"/>
      <c r="U4" s="1937"/>
    </row>
    <row r="5" spans="1:22" ht="15">
      <c r="A5" s="1934" t="s">
        <v>1031</v>
      </c>
      <c r="M5" s="1937"/>
      <c r="N5" s="1937"/>
      <c r="O5" s="1937"/>
      <c r="P5" s="1937"/>
      <c r="Q5" s="1937"/>
      <c r="R5" s="1937"/>
      <c r="S5" s="1937"/>
      <c r="T5" s="1937"/>
      <c r="U5" s="1937"/>
    </row>
    <row r="6" spans="1:22" ht="15">
      <c r="A6" s="2313" t="s">
        <v>1032</v>
      </c>
      <c r="B6" s="2313"/>
      <c r="C6" s="2313"/>
      <c r="D6" s="2313"/>
      <c r="E6" s="2313"/>
      <c r="F6" s="2313"/>
      <c r="G6" s="2313"/>
      <c r="H6" s="2313"/>
      <c r="I6" s="2313"/>
      <c r="J6" s="2313"/>
      <c r="K6" s="2313"/>
      <c r="L6" s="2313"/>
      <c r="M6" s="1937"/>
      <c r="N6" s="1937"/>
      <c r="O6" s="1937"/>
      <c r="P6" s="1937"/>
      <c r="Q6" s="1937"/>
      <c r="R6" s="1937"/>
      <c r="S6" s="1937"/>
      <c r="T6" s="1937"/>
      <c r="U6" s="1937"/>
    </row>
    <row r="7" spans="1:22" ht="15">
      <c r="M7" s="1937"/>
      <c r="N7" s="1937"/>
      <c r="O7" s="1937"/>
      <c r="P7" s="1937"/>
      <c r="Q7" s="1937"/>
      <c r="R7" s="1937"/>
      <c r="S7" s="1937"/>
      <c r="T7" s="1937"/>
      <c r="U7" s="1937"/>
    </row>
    <row r="8" spans="1:22" ht="15">
      <c r="M8" s="1937"/>
      <c r="N8" s="1937"/>
      <c r="O8" s="1937"/>
      <c r="P8" s="1937"/>
      <c r="Q8" s="1937"/>
      <c r="R8" s="1937"/>
      <c r="S8" s="1937"/>
      <c r="T8" s="1937"/>
      <c r="U8" s="1937"/>
    </row>
    <row r="9" spans="1:22" ht="15">
      <c r="A9" s="1938" t="s">
        <v>284</v>
      </c>
      <c r="B9" s="1939" t="s">
        <v>285</v>
      </c>
      <c r="C9" s="1939"/>
      <c r="D9" s="1939" t="s">
        <v>286</v>
      </c>
      <c r="E9" s="1939" t="s">
        <v>287</v>
      </c>
      <c r="F9" s="1940" t="s">
        <v>288</v>
      </c>
      <c r="G9" s="1939" t="s">
        <v>1033</v>
      </c>
      <c r="H9" s="1939" t="s">
        <v>290</v>
      </c>
      <c r="I9" s="1939"/>
      <c r="J9" s="1939" t="s">
        <v>1034</v>
      </c>
      <c r="K9" s="1941" t="s">
        <v>292</v>
      </c>
      <c r="L9" s="1941" t="s">
        <v>1035</v>
      </c>
      <c r="M9" s="1937"/>
      <c r="N9" s="1937"/>
      <c r="O9" s="1937"/>
      <c r="P9" s="1937"/>
      <c r="Q9" s="1937"/>
      <c r="R9" s="1937"/>
      <c r="S9" s="1937"/>
      <c r="T9" s="1937"/>
      <c r="U9" s="1937"/>
      <c r="V9" s="1939"/>
    </row>
    <row r="10" spans="1:22" ht="15">
      <c r="D10" s="1937"/>
      <c r="E10" s="1937"/>
      <c r="F10" s="1937"/>
      <c r="G10" s="1937"/>
      <c r="H10" s="1937"/>
      <c r="I10" s="1937"/>
      <c r="J10" s="1937"/>
      <c r="K10" s="1937"/>
      <c r="L10" s="1937"/>
      <c r="M10" s="1937"/>
      <c r="N10" s="1937"/>
      <c r="O10" s="1937"/>
      <c r="P10" s="1937"/>
      <c r="Q10" s="1937"/>
      <c r="R10" s="1937"/>
      <c r="S10" s="1937"/>
      <c r="T10" s="1937"/>
      <c r="U10" s="1937"/>
    </row>
    <row r="11" spans="1:22" ht="51.75">
      <c r="A11" s="1934" t="s">
        <v>524</v>
      </c>
      <c r="B11" s="1935" t="s">
        <v>1036</v>
      </c>
      <c r="D11" s="1942" t="s">
        <v>1037</v>
      </c>
      <c r="E11" s="1939" t="s">
        <v>1038</v>
      </c>
      <c r="F11" s="1943" t="s">
        <v>1039</v>
      </c>
      <c r="G11" s="1943" t="s">
        <v>1040</v>
      </c>
      <c r="H11" s="1943" t="s">
        <v>1041</v>
      </c>
      <c r="I11" s="1944"/>
      <c r="J11" s="1943" t="s">
        <v>1042</v>
      </c>
      <c r="K11" s="1943" t="s">
        <v>1043</v>
      </c>
      <c r="L11" s="1943" t="s">
        <v>1044</v>
      </c>
      <c r="M11" s="1937"/>
      <c r="N11" s="1937"/>
      <c r="O11" s="1937"/>
      <c r="P11" s="1937"/>
      <c r="Q11" s="1937"/>
      <c r="R11" s="1937"/>
      <c r="S11" s="1937"/>
      <c r="T11" s="1937"/>
      <c r="U11" s="1937"/>
    </row>
    <row r="12" spans="1:22" ht="12.6" customHeight="1">
      <c r="D12" s="1942"/>
      <c r="E12" s="1939"/>
      <c r="F12" s="1943"/>
      <c r="G12" s="1943"/>
      <c r="H12" s="1943"/>
      <c r="I12" s="1944"/>
      <c r="J12" s="1943"/>
      <c r="K12" s="1945"/>
      <c r="L12" s="1945"/>
      <c r="M12" s="1937"/>
      <c r="N12" s="1937"/>
      <c r="O12" s="1937"/>
      <c r="P12" s="1937"/>
      <c r="Q12" s="1937"/>
      <c r="R12" s="1937"/>
      <c r="S12" s="1937"/>
      <c r="T12" s="1937"/>
      <c r="U12" s="1937"/>
      <c r="V12" s="1946"/>
    </row>
    <row r="13" spans="1:22" ht="12.6" customHeight="1">
      <c r="A13" s="1947" t="s">
        <v>1045</v>
      </c>
      <c r="D13" s="1942"/>
      <c r="E13" s="1939"/>
      <c r="F13" s="1943"/>
      <c r="G13" s="1943"/>
      <c r="H13" s="1943"/>
      <c r="I13" s="1944"/>
      <c r="J13" s="1943"/>
      <c r="K13" s="1945"/>
      <c r="L13" s="1945"/>
      <c r="M13" s="1937"/>
      <c r="N13" s="1937"/>
      <c r="O13" s="1937"/>
      <c r="P13" s="1937"/>
      <c r="Q13" s="1937"/>
      <c r="R13" s="1937"/>
      <c r="S13" s="1937"/>
      <c r="T13" s="1937"/>
      <c r="U13" s="1937"/>
      <c r="V13" s="1946"/>
    </row>
    <row r="14" spans="1:22" ht="12.6" customHeight="1">
      <c r="D14" s="1948"/>
      <c r="E14" s="1948"/>
      <c r="F14" s="1949"/>
      <c r="G14" s="1949"/>
      <c r="H14" s="1949"/>
      <c r="I14" s="1949"/>
      <c r="J14" s="1949"/>
      <c r="K14" s="1949"/>
      <c r="L14" s="1949"/>
      <c r="M14" s="1937"/>
      <c r="N14" s="1937"/>
      <c r="O14" s="1937"/>
      <c r="P14" s="1937"/>
      <c r="Q14" s="1937"/>
      <c r="R14" s="1937"/>
      <c r="S14" s="1937"/>
      <c r="T14" s="1937"/>
      <c r="U14" s="1937"/>
      <c r="V14" s="1946"/>
    </row>
    <row r="15" spans="1:22" ht="12.6" customHeight="1">
      <c r="A15" s="1950">
        <v>1</v>
      </c>
      <c r="B15" s="1951" t="s">
        <v>586</v>
      </c>
      <c r="D15" s="1952">
        <v>15318</v>
      </c>
      <c r="E15" s="1948" t="s">
        <v>1046</v>
      </c>
      <c r="F15" s="1949">
        <v>5954.8499999999995</v>
      </c>
      <c r="G15" s="1953">
        <f>+F15/D15</f>
        <v>0.38874853113983543</v>
      </c>
      <c r="H15" s="1949">
        <f>-F15</f>
        <v>-5954.8499999999995</v>
      </c>
      <c r="I15" s="1949"/>
      <c r="J15" s="1949">
        <f>+F15+H15</f>
        <v>0</v>
      </c>
      <c r="K15" s="1949"/>
      <c r="L15" s="1949">
        <f>+D15-J15</f>
        <v>15318</v>
      </c>
      <c r="M15" s="1937"/>
      <c r="N15" s="1937"/>
      <c r="O15" s="1937"/>
      <c r="P15" s="1937"/>
      <c r="Q15" s="1937"/>
      <c r="R15" s="1937"/>
      <c r="S15" s="1937"/>
      <c r="T15" s="1937"/>
      <c r="U15" s="1937"/>
      <c r="V15" s="1954"/>
    </row>
    <row r="16" spans="1:22" ht="12.6" customHeight="1">
      <c r="A16" s="1950"/>
      <c r="B16" s="1951"/>
      <c r="D16" s="1948"/>
      <c r="E16" s="1948"/>
      <c r="F16" s="1955"/>
      <c r="G16" s="1953"/>
      <c r="H16" s="1949"/>
      <c r="I16" s="1949"/>
      <c r="J16" s="1949"/>
      <c r="K16" s="1949"/>
      <c r="L16" s="1949"/>
      <c r="M16" s="1937"/>
      <c r="N16" s="1937"/>
      <c r="O16" s="1937"/>
      <c r="P16" s="1937"/>
      <c r="Q16" s="1937"/>
      <c r="R16" s="1937"/>
      <c r="S16" s="1937"/>
      <c r="T16" s="1937"/>
      <c r="U16" s="1937"/>
      <c r="V16" s="1954"/>
    </row>
    <row r="17" spans="1:22" ht="12.6" customHeight="1">
      <c r="A17" s="1950">
        <f>+A15+1</f>
        <v>2</v>
      </c>
      <c r="B17" s="1951" t="s">
        <v>584</v>
      </c>
      <c r="D17" s="1948">
        <v>-417.55</v>
      </c>
      <c r="E17" s="1948" t="s">
        <v>1047</v>
      </c>
      <c r="F17" s="1949">
        <v>-167.01999999999998</v>
      </c>
      <c r="G17" s="1953">
        <f>+F17/D17</f>
        <v>0.39999999999999997</v>
      </c>
      <c r="H17" s="1949"/>
      <c r="I17" s="1949"/>
      <c r="J17" s="1949"/>
      <c r="K17" s="1949"/>
      <c r="L17" s="1949"/>
      <c r="M17" s="1937"/>
      <c r="N17" s="1937"/>
      <c r="O17" s="1937"/>
      <c r="P17" s="1937"/>
      <c r="Q17" s="1937"/>
      <c r="R17" s="1937"/>
      <c r="S17" s="1937"/>
      <c r="T17" s="1937"/>
      <c r="U17" s="1937"/>
      <c r="V17" s="1954"/>
    </row>
    <row r="18" spans="1:22" ht="12.6" customHeight="1">
      <c r="A18" s="1950">
        <f>+A17+1</f>
        <v>3</v>
      </c>
      <c r="B18" s="1951"/>
      <c r="D18" s="1948"/>
      <c r="E18" s="1948" t="s">
        <v>1048</v>
      </c>
      <c r="F18" s="1949">
        <f>+F17</f>
        <v>-167.01999999999998</v>
      </c>
      <c r="G18" s="1953"/>
      <c r="H18" s="1949"/>
      <c r="I18" s="1949"/>
      <c r="J18" s="1949">
        <f>+F18+H18</f>
        <v>-167.01999999999998</v>
      </c>
      <c r="K18" s="1949" t="s">
        <v>820</v>
      </c>
      <c r="L18" s="1949">
        <f>+D17-F18</f>
        <v>-250.53000000000003</v>
      </c>
      <c r="M18" s="1937"/>
      <c r="N18" s="1937"/>
      <c r="O18" s="1937"/>
      <c r="P18" s="1937"/>
      <c r="Q18" s="1937"/>
      <c r="R18" s="1937"/>
      <c r="S18" s="1937"/>
      <c r="T18" s="1937"/>
      <c r="U18" s="1937"/>
      <c r="V18" s="1954"/>
    </row>
    <row r="19" spans="1:22" ht="12.6" customHeight="1">
      <c r="A19" s="1950">
        <f>+A18+1</f>
        <v>4</v>
      </c>
      <c r="B19" s="1951"/>
      <c r="D19" s="1948"/>
      <c r="E19" s="1948" t="s">
        <v>1049</v>
      </c>
      <c r="F19" s="1949">
        <v>0</v>
      </c>
      <c r="G19" s="1953"/>
      <c r="H19" s="1949"/>
      <c r="I19" s="1949"/>
      <c r="J19" s="1949">
        <f>+F19+H19</f>
        <v>0</v>
      </c>
      <c r="K19" s="1949" t="s">
        <v>819</v>
      </c>
      <c r="L19" s="1949"/>
      <c r="M19" s="1937"/>
      <c r="N19" s="1937"/>
      <c r="O19" s="1937"/>
      <c r="P19" s="1937"/>
      <c r="Q19" s="1937"/>
      <c r="R19" s="1937"/>
      <c r="S19" s="1937"/>
      <c r="T19" s="1937"/>
      <c r="U19" s="1937"/>
      <c r="V19" s="1954"/>
    </row>
    <row r="20" spans="1:22" ht="12.6" customHeight="1">
      <c r="A20" s="1950"/>
      <c r="B20" s="1951"/>
      <c r="D20" s="1948"/>
      <c r="E20" s="1948"/>
      <c r="F20" s="1949"/>
      <c r="G20" s="1956"/>
      <c r="H20" s="1949"/>
      <c r="I20" s="1949"/>
      <c r="J20" s="1949"/>
      <c r="K20" s="1949"/>
      <c r="L20" s="1949"/>
      <c r="M20" s="1937"/>
      <c r="N20" s="1937"/>
      <c r="O20" s="1937"/>
      <c r="P20" s="1937"/>
      <c r="Q20" s="1937"/>
      <c r="R20" s="1937"/>
      <c r="S20" s="1937"/>
      <c r="T20" s="1937"/>
      <c r="U20" s="1937"/>
      <c r="V20" s="1954"/>
    </row>
    <row r="21" spans="1:22" ht="12.6" customHeight="1">
      <c r="A21" s="1950">
        <f>+A19+1</f>
        <v>5</v>
      </c>
      <c r="B21" s="1951" t="s">
        <v>585</v>
      </c>
      <c r="D21" s="1948">
        <v>3511</v>
      </c>
      <c r="E21" s="1948" t="s">
        <v>1050</v>
      </c>
      <c r="J21" s="1944"/>
      <c r="K21" s="1949"/>
      <c r="L21" s="1949"/>
      <c r="M21" s="1937"/>
      <c r="N21" s="1937"/>
      <c r="O21" s="1937"/>
      <c r="P21" s="1937"/>
      <c r="Q21" s="1937"/>
      <c r="R21" s="1937"/>
      <c r="S21" s="1937"/>
      <c r="T21" s="1937"/>
      <c r="U21" s="1937"/>
      <c r="V21" s="1954"/>
    </row>
    <row r="22" spans="1:22" ht="12.6" customHeight="1">
      <c r="A22" s="1950">
        <f>+A21+1</f>
        <v>6</v>
      </c>
      <c r="B22" s="1951"/>
      <c r="D22" s="1957">
        <f>+D21</f>
        <v>3511</v>
      </c>
      <c r="E22" s="1948" t="s">
        <v>1051</v>
      </c>
      <c r="F22" s="1946"/>
      <c r="G22" s="1953"/>
      <c r="H22" s="1949"/>
      <c r="I22" s="1949"/>
      <c r="J22" s="1949"/>
      <c r="K22" s="1949"/>
      <c r="L22" s="1949"/>
      <c r="M22" s="1937"/>
      <c r="N22" s="1937"/>
      <c r="O22" s="1937"/>
      <c r="P22" s="1937"/>
      <c r="Q22" s="1937"/>
      <c r="R22" s="1937"/>
      <c r="S22" s="1937"/>
      <c r="T22" s="1937"/>
      <c r="U22" s="1937"/>
      <c r="V22" s="1954"/>
    </row>
    <row r="23" spans="1:22" ht="12.6" customHeight="1">
      <c r="A23" s="1950">
        <f>+A22+1</f>
        <v>7</v>
      </c>
      <c r="B23" s="1951"/>
      <c r="D23" s="1948">
        <f>+D21-D22</f>
        <v>0</v>
      </c>
      <c r="F23" s="1949">
        <v>0</v>
      </c>
      <c r="G23" s="1953">
        <f>+F23/D21</f>
        <v>0</v>
      </c>
      <c r="H23" s="1949">
        <f>-H15-H17</f>
        <v>5954.8499999999995</v>
      </c>
      <c r="I23" s="1949"/>
      <c r="J23" s="1949">
        <f>+F23+H23</f>
        <v>5954.8499999999995</v>
      </c>
      <c r="K23" s="1949" t="s">
        <v>819</v>
      </c>
      <c r="L23" s="1949">
        <f>+D23-J23</f>
        <v>-5954.8499999999995</v>
      </c>
      <c r="M23" s="1937"/>
      <c r="N23" s="1937"/>
      <c r="O23" s="1937"/>
      <c r="P23" s="1937"/>
      <c r="Q23" s="1937"/>
      <c r="R23" s="1937"/>
      <c r="S23" s="1937"/>
      <c r="T23" s="1937"/>
      <c r="U23" s="1937"/>
      <c r="V23" s="1954"/>
    </row>
    <row r="24" spans="1:22" ht="12.6" customHeight="1">
      <c r="A24" s="1950"/>
      <c r="E24" s="1948"/>
      <c r="F24" s="1949"/>
      <c r="G24" s="1956"/>
      <c r="H24" s="1949"/>
      <c r="I24" s="1949"/>
      <c r="J24" s="1949"/>
      <c r="K24" s="1949"/>
      <c r="L24" s="1949"/>
      <c r="M24" s="1937"/>
      <c r="N24" s="1937"/>
      <c r="O24" s="1937"/>
      <c r="P24" s="1937"/>
      <c r="Q24" s="1937"/>
      <c r="R24" s="1937"/>
      <c r="S24" s="1937"/>
      <c r="T24" s="1937"/>
      <c r="U24" s="1937"/>
      <c r="V24" s="1954"/>
    </row>
    <row r="25" spans="1:22" ht="12.6" customHeight="1">
      <c r="A25" s="1950">
        <f>+A23+1</f>
        <v>8</v>
      </c>
      <c r="B25" s="1935" t="s">
        <v>255</v>
      </c>
      <c r="D25" s="1958">
        <f>+D15+D17+D23</f>
        <v>14900.45</v>
      </c>
      <c r="E25" s="1948" t="s">
        <v>1052</v>
      </c>
      <c r="F25" s="1959">
        <f>+F23+F17+F15</f>
        <v>5787.83</v>
      </c>
      <c r="G25" s="1960"/>
      <c r="H25" s="1959">
        <f>SUM(H15:H23)</f>
        <v>0</v>
      </c>
      <c r="I25" s="1949"/>
      <c r="J25" s="1959">
        <f>SUM(J15:J23)</f>
        <v>5787.83</v>
      </c>
      <c r="K25" s="1944"/>
      <c r="L25" s="1959">
        <f>SUM(L15:L23)</f>
        <v>9112.619999999999</v>
      </c>
      <c r="M25" s="1937"/>
      <c r="N25" s="1937"/>
      <c r="O25" s="1937"/>
      <c r="P25" s="1937"/>
      <c r="Q25" s="1937"/>
      <c r="R25" s="1937"/>
      <c r="S25" s="1937"/>
      <c r="T25" s="1937"/>
      <c r="U25" s="1937"/>
      <c r="V25" s="1954"/>
    </row>
    <row r="26" spans="1:22" ht="12.6" customHeight="1">
      <c r="A26" s="1950"/>
      <c r="D26" s="1948"/>
      <c r="E26" s="1961"/>
      <c r="F26" s="1955"/>
      <c r="G26" s="1953"/>
      <c r="H26" s="1949"/>
      <c r="I26" s="1949"/>
      <c r="J26" s="1949"/>
      <c r="K26" s="1949"/>
      <c r="L26" s="1937"/>
      <c r="M26" s="1937"/>
      <c r="N26" s="1937"/>
      <c r="O26" s="1937"/>
      <c r="P26" s="1937"/>
      <c r="Q26" s="1937"/>
      <c r="R26" s="1937"/>
      <c r="S26" s="1937"/>
      <c r="T26" s="1937"/>
      <c r="U26" s="1937"/>
      <c r="V26" s="1954"/>
    </row>
    <row r="27" spans="1:22" ht="15.75">
      <c r="K27" s="1937"/>
      <c r="L27" s="1937"/>
      <c r="M27" s="1937"/>
      <c r="N27" s="1937"/>
      <c r="O27" s="1937"/>
      <c r="P27" s="1937"/>
      <c r="Q27" s="1937"/>
      <c r="R27" s="1937"/>
      <c r="S27" s="1937"/>
      <c r="T27" s="1937"/>
      <c r="U27" s="1937"/>
      <c r="V27" s="1954"/>
    </row>
    <row r="28" spans="1:22" ht="15">
      <c r="K28" s="1937"/>
      <c r="L28" s="1937"/>
      <c r="M28" s="1937"/>
      <c r="N28" s="1937"/>
      <c r="O28" s="1937"/>
      <c r="P28" s="1937"/>
      <c r="Q28" s="1937"/>
      <c r="R28" s="1937"/>
      <c r="S28" s="1937"/>
      <c r="T28" s="1937"/>
      <c r="U28" s="1937"/>
    </row>
    <row r="29" spans="1:22" ht="15.6" customHeight="1">
      <c r="B29" s="2234" t="s">
        <v>1053</v>
      </c>
      <c r="C29" s="2234"/>
      <c r="D29" s="2234"/>
      <c r="E29" s="2234"/>
      <c r="F29" s="2234"/>
      <c r="G29" s="2234"/>
      <c r="H29" s="2234"/>
      <c r="I29" s="2234"/>
      <c r="J29" s="1944"/>
      <c r="K29" s="1937"/>
      <c r="L29" s="1937"/>
      <c r="M29" s="1937"/>
      <c r="N29" s="1937"/>
      <c r="O29" s="1937"/>
      <c r="P29" s="1937"/>
      <c r="Q29" s="1937"/>
      <c r="R29" s="1937"/>
      <c r="S29" s="1937"/>
      <c r="T29" s="1937"/>
      <c r="U29" s="1937"/>
    </row>
    <row r="30" spans="1:22" ht="15">
      <c r="B30" s="2234"/>
      <c r="C30" s="2234"/>
      <c r="D30" s="2234"/>
      <c r="E30" s="2234"/>
      <c r="F30" s="2234"/>
      <c r="G30" s="2234"/>
      <c r="H30" s="2234"/>
      <c r="I30" s="2234"/>
      <c r="J30" s="1944"/>
      <c r="K30" s="1946"/>
      <c r="L30" s="1946"/>
      <c r="M30" s="1937"/>
      <c r="N30" s="1937"/>
      <c r="O30" s="1937"/>
      <c r="P30" s="1937"/>
      <c r="Q30" s="1937"/>
      <c r="R30" s="1937"/>
      <c r="S30" s="1937"/>
      <c r="T30" s="1937"/>
      <c r="U30" s="1937"/>
    </row>
    <row r="31" spans="1:22">
      <c r="B31" s="2234"/>
      <c r="C31" s="2234"/>
      <c r="D31" s="2234"/>
      <c r="E31" s="2234"/>
      <c r="F31" s="2234"/>
      <c r="G31" s="2234"/>
      <c r="H31" s="2234"/>
      <c r="I31" s="2234"/>
      <c r="J31" s="1944"/>
      <c r="K31" s="1946"/>
      <c r="L31" s="1946"/>
      <c r="M31" s="1946"/>
      <c r="N31" s="1946"/>
      <c r="O31" s="1946"/>
      <c r="P31" s="1946"/>
    </row>
    <row r="32" spans="1:22" ht="15.6" customHeight="1">
      <c r="I32" s="1962"/>
      <c r="J32" s="1944"/>
      <c r="K32" s="1946"/>
      <c r="L32" s="1946"/>
      <c r="M32" s="1946"/>
      <c r="N32" s="1946"/>
      <c r="O32" s="1946"/>
      <c r="P32" s="1946"/>
      <c r="Q32" s="1948"/>
    </row>
    <row r="33" spans="1:17">
      <c r="A33" s="1963" t="s">
        <v>1054</v>
      </c>
      <c r="B33" s="2232" t="s">
        <v>1055</v>
      </c>
      <c r="C33" s="2232"/>
      <c r="D33" s="2232"/>
      <c r="E33" s="2232"/>
      <c r="F33" s="2232"/>
      <c r="G33" s="2232"/>
      <c r="H33" s="2232"/>
      <c r="I33" s="2232"/>
      <c r="J33" s="2232"/>
      <c r="K33" s="1946"/>
      <c r="L33" s="1946"/>
      <c r="M33" s="1946"/>
      <c r="N33" s="1946"/>
      <c r="O33" s="1946"/>
      <c r="P33" s="1946"/>
      <c r="Q33" s="1948"/>
    </row>
    <row r="34" spans="1:17" ht="12.6" customHeight="1">
      <c r="A34" s="1964"/>
      <c r="B34" s="2232"/>
      <c r="C34" s="2232"/>
      <c r="D34" s="2232"/>
      <c r="E34" s="2232"/>
      <c r="F34" s="2232"/>
      <c r="G34" s="2232"/>
      <c r="H34" s="2232"/>
      <c r="I34" s="2232"/>
      <c r="J34" s="2232"/>
      <c r="K34" s="1946"/>
      <c r="L34" s="1946"/>
      <c r="M34" s="1946"/>
      <c r="N34" s="1946"/>
      <c r="O34" s="1946"/>
      <c r="P34" s="1946"/>
      <c r="Q34" s="1948"/>
    </row>
    <row r="35" spans="1:17">
      <c r="I35" s="1946"/>
      <c r="J35" s="1948"/>
      <c r="K35" s="1946"/>
      <c r="L35" s="1946"/>
      <c r="M35" s="1946"/>
      <c r="N35" s="1946"/>
      <c r="O35" s="1946"/>
      <c r="P35" s="1946"/>
      <c r="Q35" s="1948"/>
    </row>
    <row r="36" spans="1:17">
      <c r="A36" s="1935"/>
      <c r="I36" s="1946"/>
      <c r="J36" s="1948"/>
      <c r="K36" s="1946"/>
      <c r="L36" s="1946"/>
      <c r="M36" s="1946"/>
      <c r="N36" s="1946"/>
      <c r="O36" s="1946"/>
      <c r="P36" s="1946"/>
      <c r="Q36" s="1948"/>
    </row>
    <row r="37" spans="1:17">
      <c r="A37" s="1964" t="s">
        <v>1056</v>
      </c>
      <c r="B37" s="1965" t="s">
        <v>1057</v>
      </c>
      <c r="I37" s="1946"/>
      <c r="J37" s="1948"/>
      <c r="K37" s="1946"/>
      <c r="L37" s="1946"/>
      <c r="M37" s="1946"/>
      <c r="N37" s="1946"/>
      <c r="O37" s="1946"/>
      <c r="P37" s="1946"/>
      <c r="Q37" s="1948"/>
    </row>
    <row r="38" spans="1:17">
      <c r="A38" s="1964"/>
      <c r="E38" s="1966"/>
      <c r="G38" s="1946"/>
      <c r="H38" s="1946"/>
      <c r="I38" s="1946"/>
      <c r="K38" s="1946"/>
      <c r="L38" s="1946"/>
      <c r="M38" s="1946"/>
      <c r="N38" s="1946"/>
      <c r="O38" s="1946"/>
      <c r="P38" s="1946"/>
      <c r="Q38" s="1948"/>
    </row>
    <row r="39" spans="1:17">
      <c r="A39" s="1967" t="s">
        <v>1058</v>
      </c>
      <c r="B39" s="1967" t="s">
        <v>1059</v>
      </c>
      <c r="C39" s="1968"/>
      <c r="D39" s="1968"/>
      <c r="E39" s="1968"/>
      <c r="F39" s="1968"/>
      <c r="G39" s="1968"/>
      <c r="H39" s="1968"/>
      <c r="I39" s="1946"/>
      <c r="J39" s="1948"/>
      <c r="K39" s="1946"/>
      <c r="L39" s="1946"/>
      <c r="M39" s="1946"/>
      <c r="N39" s="1946"/>
      <c r="O39" s="1946"/>
      <c r="P39" s="1946"/>
      <c r="Q39" s="1948"/>
    </row>
    <row r="40" spans="1:17">
      <c r="A40" s="1935"/>
      <c r="C40" s="1968"/>
      <c r="D40" s="1968"/>
      <c r="E40" s="1968"/>
      <c r="F40" s="1968"/>
      <c r="G40" s="1968"/>
      <c r="H40" s="1968"/>
      <c r="I40" s="1946"/>
      <c r="J40" s="1948"/>
      <c r="K40" s="1946"/>
      <c r="L40" s="1946"/>
      <c r="M40" s="1946"/>
      <c r="N40" s="1946"/>
      <c r="O40" s="1946"/>
      <c r="P40" s="1946"/>
    </row>
    <row r="41" spans="1:17">
      <c r="A41" s="1935" t="s">
        <v>1060</v>
      </c>
      <c r="B41" s="1965" t="s">
        <v>1061</v>
      </c>
      <c r="C41" s="1968"/>
      <c r="D41" s="1968"/>
      <c r="E41" s="1968"/>
      <c r="F41" s="1968"/>
      <c r="G41" s="1968"/>
      <c r="H41" s="1968"/>
      <c r="I41" s="1946"/>
      <c r="J41" s="1948"/>
    </row>
  </sheetData>
  <mergeCells count="3">
    <mergeCell ref="A6:L6"/>
    <mergeCell ref="B29:I31"/>
    <mergeCell ref="B33:J34"/>
  </mergeCells>
  <pageMargins left="0.7" right="0.7" top="0.75" bottom="0.75" header="0.3" footer="0.3"/>
  <pageSetup scale="70"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V52"/>
  <sheetViews>
    <sheetView workbookViewId="0">
      <selection activeCell="E20" sqref="E20"/>
    </sheetView>
  </sheetViews>
  <sheetFormatPr defaultColWidth="11.85546875" defaultRowHeight="12.75"/>
  <cols>
    <col min="1" max="1" width="9" style="1934" customWidth="1"/>
    <col min="2" max="2" width="15" style="1935" bestFit="1" customWidth="1"/>
    <col min="3" max="3" width="4.140625" style="1935" customWidth="1"/>
    <col min="4" max="4" width="21" style="1935" bestFit="1" customWidth="1"/>
    <col min="5" max="5" width="29.7109375" style="1935" bestFit="1" customWidth="1"/>
    <col min="6" max="6" width="18.28515625" style="1935" customWidth="1"/>
    <col min="7" max="7" width="13.5703125" style="1935" customWidth="1"/>
    <col min="8" max="8" width="15" style="1935" customWidth="1"/>
    <col min="9" max="9" width="1.140625" style="1935" customWidth="1"/>
    <col min="10" max="10" width="16.85546875" style="1935" customWidth="1"/>
    <col min="11" max="11" width="17.140625" style="1935" customWidth="1"/>
    <col min="12" max="12" width="15.42578125" style="1935" customWidth="1"/>
    <col min="13" max="13" width="22.7109375" style="1935" customWidth="1"/>
    <col min="14" max="14" width="1.140625" style="1935" customWidth="1"/>
    <col min="15" max="15" width="19.140625" style="1935" bestFit="1" customWidth="1"/>
    <col min="16" max="16" width="1.140625" style="1948" customWidth="1"/>
    <col min="17" max="17" width="15.28515625" style="1935" bestFit="1" customWidth="1"/>
    <col min="18" max="18" width="1.140625" style="1935" customWidth="1"/>
    <col min="19" max="19" width="14.28515625" style="1935" customWidth="1"/>
    <col min="20" max="20" width="22" style="1935" bestFit="1" customWidth="1"/>
    <col min="21" max="16384" width="11.85546875" style="1935"/>
  </cols>
  <sheetData>
    <row r="1" spans="1:22" ht="15">
      <c r="A1" s="1934" t="s">
        <v>1027</v>
      </c>
      <c r="L1" s="1936"/>
      <c r="M1" s="2085"/>
      <c r="N1" s="2085"/>
      <c r="O1" s="2085"/>
      <c r="P1" s="2085"/>
      <c r="Q1" s="2085"/>
      <c r="R1" s="2085"/>
      <c r="S1" s="2085"/>
      <c r="T1" s="2085"/>
      <c r="U1" s="2085"/>
    </row>
    <row r="2" spans="1:22" ht="15">
      <c r="A2" s="1934" t="s">
        <v>1028</v>
      </c>
      <c r="L2" s="1936"/>
      <c r="M2" s="2085"/>
      <c r="N2" s="2085"/>
      <c r="O2" s="2085"/>
      <c r="P2" s="2085"/>
      <c r="Q2" s="2085"/>
      <c r="R2" s="2085"/>
      <c r="S2" s="2085"/>
      <c r="T2" s="2085"/>
      <c r="U2" s="2085"/>
    </row>
    <row r="3" spans="1:22" ht="15">
      <c r="A3" s="1934" t="s">
        <v>1192</v>
      </c>
      <c r="L3" s="1936"/>
      <c r="M3" s="2085"/>
      <c r="N3" s="2085"/>
      <c r="O3" s="2085"/>
      <c r="P3" s="2085"/>
      <c r="Q3" s="2085"/>
      <c r="R3" s="2085"/>
      <c r="S3" s="2085"/>
      <c r="T3" s="2085"/>
      <c r="U3" s="2085"/>
    </row>
    <row r="4" spans="1:22" ht="15">
      <c r="A4" s="1934" t="s">
        <v>1030</v>
      </c>
      <c r="M4" s="2085"/>
      <c r="N4" s="2085"/>
      <c r="O4" s="2085"/>
      <c r="P4" s="2085"/>
      <c r="Q4" s="2085"/>
      <c r="R4" s="2085"/>
      <c r="S4" s="2085"/>
      <c r="T4" s="2085"/>
      <c r="U4" s="2085"/>
    </row>
    <row r="5" spans="1:22" ht="15">
      <c r="A5" s="1934" t="s">
        <v>1031</v>
      </c>
      <c r="M5" s="2085"/>
      <c r="N5" s="2085"/>
      <c r="O5" s="2085"/>
      <c r="P5" s="2085"/>
      <c r="Q5" s="2085"/>
      <c r="R5" s="2085"/>
      <c r="S5" s="2085"/>
      <c r="T5" s="2085"/>
      <c r="U5" s="2085"/>
    </row>
    <row r="6" spans="1:22" ht="15">
      <c r="A6" s="2313" t="s">
        <v>1193</v>
      </c>
      <c r="B6" s="2313"/>
      <c r="C6" s="2313"/>
      <c r="D6" s="2313"/>
      <c r="E6" s="2313"/>
      <c r="F6" s="2313"/>
      <c r="G6" s="2313"/>
      <c r="H6" s="2313"/>
      <c r="I6" s="2313"/>
      <c r="J6" s="2313"/>
      <c r="K6" s="2313"/>
      <c r="L6" s="2313"/>
      <c r="M6" s="2085"/>
      <c r="N6" s="2085"/>
      <c r="O6" s="2085"/>
      <c r="P6" s="2085"/>
      <c r="Q6" s="2085"/>
      <c r="R6" s="2085"/>
      <c r="S6" s="2085"/>
      <c r="T6" s="2085"/>
      <c r="U6" s="2085"/>
    </row>
    <row r="7" spans="1:22" ht="15">
      <c r="M7" s="2085"/>
      <c r="N7" s="2085"/>
      <c r="O7" s="2085"/>
      <c r="P7" s="2085"/>
      <c r="Q7" s="2085"/>
      <c r="R7" s="2085"/>
      <c r="S7" s="2085"/>
      <c r="T7" s="2085"/>
      <c r="U7" s="2085"/>
    </row>
    <row r="8" spans="1:22" ht="15">
      <c r="M8" s="2085"/>
      <c r="N8" s="2085"/>
      <c r="O8" s="2085"/>
      <c r="P8" s="2085"/>
      <c r="Q8" s="2085"/>
      <c r="R8" s="2085"/>
      <c r="S8" s="2085"/>
      <c r="T8" s="2085"/>
      <c r="U8" s="2085"/>
    </row>
    <row r="9" spans="1:22" ht="15">
      <c r="A9" s="1938" t="s">
        <v>284</v>
      </c>
      <c r="B9" s="1939" t="s">
        <v>285</v>
      </c>
      <c r="C9" s="1939"/>
      <c r="D9" s="1939" t="s">
        <v>286</v>
      </c>
      <c r="E9" s="1939" t="s">
        <v>287</v>
      </c>
      <c r="F9" s="1940" t="s">
        <v>288</v>
      </c>
      <c r="G9" s="1939" t="s">
        <v>1033</v>
      </c>
      <c r="H9" s="1939" t="s">
        <v>290</v>
      </c>
      <c r="I9" s="1939"/>
      <c r="J9" s="1939" t="s">
        <v>1034</v>
      </c>
      <c r="K9" s="1941" t="s">
        <v>292</v>
      </c>
      <c r="L9" s="1941" t="s">
        <v>1035</v>
      </c>
      <c r="M9" s="2085"/>
      <c r="N9" s="2085"/>
      <c r="O9" s="2085"/>
      <c r="P9" s="2085"/>
      <c r="Q9" s="2085"/>
      <c r="R9" s="2085"/>
      <c r="S9" s="2085"/>
      <c r="T9" s="2085"/>
      <c r="U9" s="2085"/>
      <c r="V9" s="1939"/>
    </row>
    <row r="10" spans="1:22" ht="15">
      <c r="D10" s="2085"/>
      <c r="E10" s="2085"/>
      <c r="F10" s="2085"/>
      <c r="G10" s="2085"/>
      <c r="H10" s="2085"/>
      <c r="I10" s="2085"/>
      <c r="J10" s="2085"/>
      <c r="K10" s="2085"/>
      <c r="L10" s="2085"/>
      <c r="M10" s="2085"/>
      <c r="N10" s="2085"/>
      <c r="O10" s="2085"/>
      <c r="P10" s="2085"/>
      <c r="Q10" s="2085"/>
      <c r="R10" s="2085"/>
      <c r="S10" s="2085"/>
      <c r="T10" s="2085"/>
      <c r="U10" s="2085"/>
    </row>
    <row r="11" spans="1:22" ht="51.75">
      <c r="A11" s="1934" t="s">
        <v>524</v>
      </c>
      <c r="B11" s="1935" t="s">
        <v>1036</v>
      </c>
      <c r="D11" s="1942" t="s">
        <v>1194</v>
      </c>
      <c r="E11" s="1939" t="s">
        <v>1038</v>
      </c>
      <c r="F11" s="1943" t="s">
        <v>1039</v>
      </c>
      <c r="G11" s="1943" t="s">
        <v>1040</v>
      </c>
      <c r="H11" s="1943" t="s">
        <v>1041</v>
      </c>
      <c r="I11" s="1944"/>
      <c r="J11" s="1943" t="s">
        <v>1042</v>
      </c>
      <c r="K11" s="1943" t="s">
        <v>1043</v>
      </c>
      <c r="L11" s="1943" t="s">
        <v>1044</v>
      </c>
      <c r="M11" s="2085"/>
      <c r="N11" s="2085"/>
      <c r="O11" s="2085"/>
      <c r="P11" s="2085"/>
      <c r="Q11" s="2085"/>
      <c r="R11" s="2085"/>
      <c r="S11" s="2085"/>
      <c r="T11" s="2085"/>
      <c r="U11" s="2085"/>
    </row>
    <row r="12" spans="1:22" ht="12.6" customHeight="1">
      <c r="D12" s="1942"/>
      <c r="E12" s="1939"/>
      <c r="F12" s="1943"/>
      <c r="G12" s="1943"/>
      <c r="H12" s="1943"/>
      <c r="I12" s="1944"/>
      <c r="J12" s="1943"/>
      <c r="K12" s="1945"/>
      <c r="L12" s="1945"/>
      <c r="M12" s="2085"/>
      <c r="N12" s="2085"/>
      <c r="O12" s="2085"/>
      <c r="P12" s="2085"/>
      <c r="Q12" s="2085"/>
      <c r="R12" s="2085"/>
      <c r="S12" s="2085"/>
      <c r="T12" s="2085"/>
      <c r="U12" s="2085"/>
      <c r="V12" s="1946"/>
    </row>
    <row r="13" spans="1:22" ht="12.6" customHeight="1">
      <c r="A13" s="1947" t="s">
        <v>1045</v>
      </c>
      <c r="D13" s="1942"/>
      <c r="E13" s="1939"/>
      <c r="F13" s="1943"/>
      <c r="G13" s="1943"/>
      <c r="H13" s="1943"/>
      <c r="I13" s="1944"/>
      <c r="J13" s="1943"/>
      <c r="K13" s="1945"/>
      <c r="L13" s="1945"/>
      <c r="M13" s="2085"/>
      <c r="N13" s="2085"/>
      <c r="O13" s="2085"/>
      <c r="P13" s="2085"/>
      <c r="Q13" s="2085"/>
      <c r="R13" s="2085"/>
      <c r="S13" s="2085"/>
      <c r="T13" s="2085"/>
      <c r="U13" s="2085"/>
      <c r="V13" s="1946"/>
    </row>
    <row r="14" spans="1:22" ht="12.6" customHeight="1">
      <c r="A14" s="1950"/>
      <c r="B14" s="1951"/>
      <c r="D14" s="2086"/>
      <c r="E14" s="2086"/>
      <c r="G14" s="1955"/>
      <c r="H14" s="1953"/>
      <c r="I14" s="1949"/>
      <c r="J14" s="1949"/>
      <c r="K14" s="1949"/>
      <c r="L14" s="1949"/>
      <c r="M14" s="2085"/>
      <c r="N14" s="2085"/>
      <c r="O14" s="2085"/>
      <c r="P14" s="2085"/>
      <c r="Q14" s="2085"/>
      <c r="R14" s="2085"/>
      <c r="S14" s="2085"/>
      <c r="T14" s="2085"/>
      <c r="U14" s="2085"/>
      <c r="V14" s="1954"/>
    </row>
    <row r="15" spans="1:22" ht="12.6" customHeight="1">
      <c r="A15" s="1950">
        <v>1</v>
      </c>
      <c r="B15" s="1951" t="s">
        <v>585</v>
      </c>
      <c r="D15" s="2087" t="s">
        <v>1195</v>
      </c>
      <c r="E15" s="2086"/>
      <c r="G15" s="1955"/>
      <c r="H15" s="1953"/>
      <c r="I15" s="1949"/>
      <c r="J15" s="1949"/>
      <c r="K15" s="1949"/>
      <c r="L15" s="1949"/>
      <c r="M15" s="2085"/>
      <c r="N15" s="2085"/>
      <c r="O15" s="2085"/>
      <c r="P15" s="2085"/>
      <c r="Q15" s="2085"/>
      <c r="R15" s="2085"/>
      <c r="S15" s="2085"/>
      <c r="T15" s="2085"/>
      <c r="U15" s="2085"/>
      <c r="V15" s="1954"/>
    </row>
    <row r="16" spans="1:22" ht="12.6" customHeight="1">
      <c r="A16" s="1950">
        <f>+A15+1</f>
        <v>2</v>
      </c>
      <c r="B16" s="1951"/>
      <c r="D16" s="2088">
        <v>91916</v>
      </c>
      <c r="E16" s="2086" t="s">
        <v>1196</v>
      </c>
      <c r="G16" s="1955"/>
      <c r="H16" s="1953"/>
      <c r="I16" s="1949"/>
      <c r="J16" s="1949"/>
      <c r="K16" s="1949"/>
      <c r="L16" s="1949"/>
      <c r="M16" s="2085"/>
      <c r="N16" s="2085"/>
      <c r="O16" s="2085"/>
      <c r="P16" s="2085"/>
      <c r="Q16" s="2085"/>
      <c r="R16" s="2085"/>
      <c r="S16" s="2085"/>
      <c r="T16" s="2085"/>
      <c r="U16" s="2085"/>
      <c r="V16" s="1954"/>
    </row>
    <row r="17" spans="1:22" ht="12.6" customHeight="1">
      <c r="A17" s="1950">
        <f t="shared" ref="A17:A36" si="0">+A16+1</f>
        <v>3</v>
      </c>
      <c r="B17" s="1951"/>
      <c r="D17" s="2089">
        <f>D25</f>
        <v>0.99960000000000004</v>
      </c>
      <c r="E17" s="2090" t="s">
        <v>1197</v>
      </c>
      <c r="G17" s="1955"/>
      <c r="H17" s="1953"/>
      <c r="I17" s="1949"/>
      <c r="J17" s="1949"/>
      <c r="K17" s="1949"/>
      <c r="L17" s="1949"/>
      <c r="M17" s="2085"/>
      <c r="N17" s="2085"/>
      <c r="O17" s="2085"/>
      <c r="P17" s="2085"/>
      <c r="Q17" s="2085"/>
      <c r="R17" s="2085"/>
      <c r="S17" s="2085"/>
      <c r="T17" s="2085"/>
      <c r="U17" s="2085"/>
      <c r="V17" s="1954"/>
    </row>
    <row r="18" spans="1:22" ht="12.6" customHeight="1">
      <c r="A18" s="1950">
        <f t="shared" si="0"/>
        <v>4</v>
      </c>
      <c r="B18" s="1951"/>
      <c r="D18" s="2091">
        <f t="shared" ref="D18" si="1">D17*D16</f>
        <v>91879.233600000007</v>
      </c>
      <c r="E18" s="2086" t="s">
        <v>1198</v>
      </c>
      <c r="G18" s="1955"/>
      <c r="H18" s="1953"/>
      <c r="I18" s="1949"/>
      <c r="J18" s="1949"/>
      <c r="K18" s="1949"/>
      <c r="L18" s="1949"/>
      <c r="M18" s="2085"/>
      <c r="N18" s="2085"/>
      <c r="O18" s="2085"/>
      <c r="P18" s="2085"/>
      <c r="Q18" s="2085"/>
      <c r="R18" s="2085"/>
      <c r="S18" s="2085"/>
      <c r="T18" s="2085"/>
      <c r="U18" s="2085"/>
      <c r="V18" s="1954"/>
    </row>
    <row r="19" spans="1:22" ht="12.6" customHeight="1">
      <c r="A19" s="1950">
        <f t="shared" si="0"/>
        <v>5</v>
      </c>
      <c r="B19" s="1951"/>
      <c r="D19" s="2092">
        <v>7.4999999999999997E-2</v>
      </c>
      <c r="E19" s="2086" t="s">
        <v>1199</v>
      </c>
      <c r="G19" s="1955"/>
      <c r="H19" s="1953"/>
      <c r="I19" s="1949"/>
      <c r="J19" s="1949"/>
      <c r="K19" s="1949"/>
      <c r="L19" s="1949"/>
      <c r="M19" s="2085"/>
      <c r="N19" s="2085"/>
      <c r="O19" s="2085"/>
      <c r="P19" s="2085"/>
      <c r="Q19" s="2085"/>
      <c r="R19" s="2085"/>
      <c r="S19" s="2085"/>
      <c r="T19" s="2085"/>
      <c r="U19" s="2085"/>
      <c r="V19" s="1954"/>
    </row>
    <row r="20" spans="1:22" ht="12.6" customHeight="1">
      <c r="A20" s="1950">
        <f t="shared" si="0"/>
        <v>6</v>
      </c>
      <c r="B20" s="1951"/>
      <c r="D20" s="2088">
        <f t="shared" ref="D20" si="2">D19*D18</f>
        <v>6890.9425200000005</v>
      </c>
      <c r="E20" s="2086" t="s">
        <v>1200</v>
      </c>
      <c r="G20" s="1955"/>
      <c r="H20" s="1953"/>
      <c r="I20" s="1949"/>
      <c r="J20" s="1949"/>
      <c r="K20" s="1949"/>
      <c r="L20" s="1949"/>
      <c r="M20" s="2085"/>
      <c r="N20" s="2085"/>
      <c r="O20" s="2085"/>
      <c r="P20" s="2085"/>
      <c r="Q20" s="2085"/>
      <c r="R20" s="2085"/>
      <c r="S20" s="2085"/>
      <c r="T20" s="2085"/>
      <c r="U20" s="2085"/>
      <c r="V20" s="1954"/>
    </row>
    <row r="21" spans="1:22" ht="12.6" customHeight="1">
      <c r="A21" s="1950">
        <f t="shared" si="0"/>
        <v>7</v>
      </c>
      <c r="B21" s="1951"/>
      <c r="D21" s="2086"/>
      <c r="E21" s="2086"/>
      <c r="G21" s="1955"/>
      <c r="H21" s="1953"/>
      <c r="I21" s="1949"/>
      <c r="J21" s="1949"/>
      <c r="K21" s="1949"/>
      <c r="L21" s="1949"/>
      <c r="M21" s="2085"/>
      <c r="N21" s="2085"/>
      <c r="O21" s="2085"/>
      <c r="P21" s="2085"/>
      <c r="Q21" s="2085"/>
      <c r="R21" s="2085"/>
      <c r="S21" s="2085"/>
      <c r="T21" s="2085"/>
      <c r="U21" s="2085"/>
      <c r="V21" s="1954"/>
    </row>
    <row r="22" spans="1:22" ht="12.6" customHeight="1">
      <c r="A22" s="1950">
        <f t="shared" si="0"/>
        <v>8</v>
      </c>
      <c r="B22" s="1951"/>
      <c r="D22" s="2086"/>
      <c r="E22" s="2086"/>
      <c r="G22" s="1955"/>
      <c r="H22" s="1953"/>
      <c r="I22" s="1949"/>
      <c r="J22" s="1949"/>
      <c r="K22" s="1949"/>
      <c r="L22" s="1949"/>
      <c r="M22" s="2085"/>
      <c r="N22" s="2085"/>
      <c r="O22" s="2085"/>
      <c r="P22" s="2085"/>
      <c r="Q22" s="2085"/>
      <c r="R22" s="2085"/>
      <c r="S22" s="2085"/>
      <c r="T22" s="2085"/>
      <c r="U22" s="2085"/>
      <c r="V22" s="1954"/>
    </row>
    <row r="23" spans="1:22" ht="12.6" customHeight="1">
      <c r="A23" s="1950">
        <f t="shared" si="0"/>
        <v>9</v>
      </c>
      <c r="B23" s="1951"/>
      <c r="D23" s="2087" t="s">
        <v>1201</v>
      </c>
      <c r="E23" s="2086"/>
      <c r="G23" s="1955"/>
      <c r="H23" s="1953"/>
      <c r="I23" s="1949"/>
      <c r="J23" s="1949"/>
      <c r="K23" s="1949"/>
      <c r="L23" s="1949"/>
      <c r="M23" s="2085"/>
      <c r="N23" s="2085"/>
      <c r="O23" s="2085"/>
      <c r="P23" s="2085"/>
      <c r="Q23" s="2085"/>
      <c r="R23" s="2085"/>
      <c r="S23" s="2085"/>
      <c r="T23" s="2085"/>
      <c r="U23" s="2085"/>
      <c r="V23" s="1954"/>
    </row>
    <row r="24" spans="1:22" ht="12.6" customHeight="1">
      <c r="A24" s="1950">
        <f t="shared" si="0"/>
        <v>10</v>
      </c>
      <c r="B24" s="1951"/>
      <c r="D24" s="2088">
        <f>+D16</f>
        <v>91916</v>
      </c>
      <c r="E24" s="2086" t="s">
        <v>1202</v>
      </c>
      <c r="G24" s="1955"/>
      <c r="H24" s="1953"/>
      <c r="I24" s="1949"/>
      <c r="J24" s="1949"/>
      <c r="K24" s="1949"/>
      <c r="L24" s="1949"/>
      <c r="M24" s="2085"/>
      <c r="N24" s="2085"/>
      <c r="O24" s="2085"/>
      <c r="P24" s="2085"/>
      <c r="Q24" s="2085"/>
      <c r="R24" s="2085"/>
      <c r="S24" s="2085"/>
      <c r="T24" s="2085"/>
      <c r="U24" s="2085"/>
      <c r="V24" s="1954"/>
    </row>
    <row r="25" spans="1:22" ht="12.6" customHeight="1">
      <c r="A25" s="1950">
        <f t="shared" si="0"/>
        <v>11</v>
      </c>
      <c r="B25" s="1951"/>
      <c r="D25" s="2093">
        <v>0.99960000000000004</v>
      </c>
      <c r="E25" s="2090" t="s">
        <v>1203</v>
      </c>
      <c r="G25" s="1955"/>
      <c r="H25" s="1953"/>
      <c r="I25" s="1949"/>
      <c r="J25" s="1949"/>
      <c r="K25" s="1949"/>
      <c r="L25" s="1949"/>
      <c r="M25" s="2085"/>
      <c r="N25" s="2085"/>
      <c r="O25" s="2085"/>
      <c r="P25" s="2085"/>
      <c r="Q25" s="2085"/>
      <c r="R25" s="2085"/>
      <c r="S25" s="2085"/>
      <c r="T25" s="2085"/>
      <c r="U25" s="2085"/>
      <c r="V25" s="1954"/>
    </row>
    <row r="26" spans="1:22" ht="12.6" customHeight="1">
      <c r="A26" s="1950">
        <f t="shared" si="0"/>
        <v>12</v>
      </c>
      <c r="B26" s="1951"/>
      <c r="D26" s="2088">
        <f t="shared" ref="D26" si="3">D25*D24</f>
        <v>91879.233600000007</v>
      </c>
      <c r="E26" s="2086" t="s">
        <v>1198</v>
      </c>
      <c r="G26" s="1955"/>
      <c r="H26" s="1953"/>
      <c r="I26" s="1949"/>
      <c r="J26" s="1949"/>
      <c r="K26" s="1949"/>
      <c r="L26" s="1949"/>
      <c r="M26" s="2085"/>
      <c r="N26" s="2085"/>
      <c r="O26" s="2085"/>
      <c r="P26" s="2085"/>
      <c r="Q26" s="2085"/>
      <c r="R26" s="2085"/>
      <c r="S26" s="2085"/>
      <c r="T26" s="2085"/>
      <c r="U26" s="2085"/>
      <c r="V26" s="1954"/>
    </row>
    <row r="27" spans="1:22" ht="12.6" customHeight="1">
      <c r="A27" s="1950">
        <f t="shared" si="0"/>
        <v>13</v>
      </c>
      <c r="B27" s="1951"/>
      <c r="D27" s="2092">
        <v>0.08</v>
      </c>
      <c r="E27" s="2086" t="s">
        <v>1199</v>
      </c>
      <c r="G27" s="1955"/>
      <c r="H27" s="1953"/>
      <c r="I27" s="1949"/>
      <c r="J27" s="1949"/>
      <c r="K27" s="1949"/>
      <c r="L27" s="1949"/>
      <c r="M27" s="2085"/>
      <c r="N27" s="2085"/>
      <c r="O27" s="2085"/>
      <c r="P27" s="2085"/>
      <c r="Q27" s="2085"/>
      <c r="R27" s="2085"/>
      <c r="S27" s="2085"/>
      <c r="T27" s="2085"/>
      <c r="U27" s="2085"/>
      <c r="V27" s="1954"/>
    </row>
    <row r="28" spans="1:22" ht="12.6" customHeight="1">
      <c r="A28" s="1950">
        <f t="shared" si="0"/>
        <v>14</v>
      </c>
      <c r="B28" s="1951"/>
      <c r="D28" s="2088">
        <f t="shared" ref="D28" si="4">D27*D26</f>
        <v>7350.3386880000007</v>
      </c>
      <c r="E28" s="2086" t="s">
        <v>1204</v>
      </c>
      <c r="G28" s="1955"/>
      <c r="H28" s="1953"/>
      <c r="I28" s="1949"/>
      <c r="J28" s="1949"/>
      <c r="K28" s="1949"/>
      <c r="L28" s="1949"/>
      <c r="M28" s="2085"/>
      <c r="N28" s="2085"/>
      <c r="O28" s="2085"/>
      <c r="P28" s="2085"/>
      <c r="Q28" s="2085"/>
      <c r="R28" s="2085"/>
      <c r="S28" s="2085"/>
      <c r="T28" s="2085"/>
      <c r="U28" s="2085"/>
      <c r="V28" s="1954"/>
    </row>
    <row r="29" spans="1:22" ht="12.6" customHeight="1">
      <c r="A29" s="1950">
        <f t="shared" si="0"/>
        <v>15</v>
      </c>
      <c r="B29" s="1951"/>
      <c r="D29" s="2086"/>
      <c r="E29" s="2086"/>
      <c r="G29" s="1955"/>
      <c r="H29" s="1953"/>
      <c r="I29" s="1949"/>
      <c r="J29" s="1949"/>
      <c r="K29" s="1949"/>
      <c r="L29" s="1949"/>
      <c r="M29" s="2085"/>
      <c r="N29" s="2085"/>
      <c r="O29" s="2085"/>
      <c r="P29" s="2085"/>
      <c r="Q29" s="2085"/>
      <c r="R29" s="2085"/>
      <c r="S29" s="2085"/>
      <c r="T29" s="2085"/>
      <c r="U29" s="2085"/>
      <c r="V29" s="1954"/>
    </row>
    <row r="30" spans="1:22" ht="12.6" customHeight="1">
      <c r="A30" s="1950">
        <f t="shared" si="0"/>
        <v>16</v>
      </c>
      <c r="B30" s="1951"/>
      <c r="D30" s="2087" t="s">
        <v>1205</v>
      </c>
      <c r="E30" s="2086"/>
      <c r="G30" s="1955"/>
      <c r="H30" s="1953"/>
      <c r="I30" s="1949"/>
      <c r="J30" s="1949"/>
      <c r="K30" s="1949"/>
      <c r="L30" s="1949"/>
      <c r="M30" s="2085"/>
      <c r="N30" s="2085"/>
      <c r="O30" s="2085"/>
      <c r="P30" s="2085"/>
      <c r="Q30" s="2085"/>
      <c r="R30" s="2085"/>
      <c r="S30" s="2085"/>
      <c r="T30" s="2085"/>
      <c r="U30" s="2085"/>
      <c r="V30" s="1954"/>
    </row>
    <row r="31" spans="1:22" ht="12.6" customHeight="1">
      <c r="A31" s="1950">
        <f t="shared" si="0"/>
        <v>17</v>
      </c>
      <c r="B31" s="1951"/>
      <c r="D31" s="2094">
        <f>D20-D28</f>
        <v>-459.39616800000022</v>
      </c>
      <c r="E31" s="2086" t="s">
        <v>1196</v>
      </c>
      <c r="F31" s="2095">
        <f>+D31</f>
        <v>-459.39616800000022</v>
      </c>
      <c r="G31" s="2096">
        <f>+F31/D28</f>
        <v>-6.2500000000000028E-2</v>
      </c>
      <c r="H31" s="2097">
        <v>0</v>
      </c>
      <c r="I31" s="1949"/>
      <c r="J31" s="1949">
        <f>+F31</f>
        <v>-459.39616800000022</v>
      </c>
      <c r="K31" s="1949" t="s">
        <v>1206</v>
      </c>
      <c r="L31" s="1949">
        <f>+D28+J31</f>
        <v>6890.9425200000005</v>
      </c>
      <c r="M31" s="2085"/>
      <c r="N31" s="2085"/>
      <c r="O31" s="2085"/>
      <c r="P31" s="2085"/>
      <c r="Q31" s="2085"/>
      <c r="R31" s="2085"/>
      <c r="S31" s="2085"/>
      <c r="T31" s="2085"/>
      <c r="U31" s="2085"/>
      <c r="V31" s="1954"/>
    </row>
    <row r="32" spans="1:22" ht="12.6" customHeight="1">
      <c r="A32" s="1950">
        <f t="shared" si="0"/>
        <v>18</v>
      </c>
      <c r="B32" s="1951"/>
      <c r="D32" s="2094">
        <f>+-D31*0.21</f>
        <v>96.473195280000041</v>
      </c>
      <c r="E32" s="2086" t="s">
        <v>1207</v>
      </c>
      <c r="F32" s="2095">
        <f>+D32</f>
        <v>96.473195280000041</v>
      </c>
      <c r="G32" s="1955">
        <f>+F32/D31</f>
        <v>-0.21</v>
      </c>
      <c r="H32" s="2097">
        <v>0</v>
      </c>
      <c r="I32" s="1949"/>
      <c r="J32" s="1949">
        <f>+F32+H32</f>
        <v>96.473195280000041</v>
      </c>
      <c r="K32" s="1949" t="s">
        <v>1206</v>
      </c>
      <c r="L32" s="1949">
        <f>+J32</f>
        <v>96.473195280000041</v>
      </c>
      <c r="M32" s="2085"/>
      <c r="N32" s="2085"/>
      <c r="O32" s="2085"/>
      <c r="P32" s="2085"/>
      <c r="Q32" s="2085"/>
      <c r="R32" s="2085"/>
      <c r="S32" s="2085"/>
      <c r="T32" s="2085"/>
      <c r="U32" s="2085"/>
      <c r="V32" s="1954"/>
    </row>
    <row r="33" spans="1:22" ht="51" customHeight="1" thickBot="1">
      <c r="A33" s="1950">
        <f t="shared" si="0"/>
        <v>19</v>
      </c>
      <c r="B33" s="1951"/>
      <c r="D33" s="2098">
        <f>SUM(D31:D32)</f>
        <v>-362.92297272000019</v>
      </c>
      <c r="E33" s="2099" t="s">
        <v>1208</v>
      </c>
      <c r="F33" s="2100"/>
      <c r="G33" s="1949"/>
      <c r="H33" s="1953"/>
      <c r="I33" s="1949"/>
      <c r="J33" s="1949"/>
      <c r="K33" s="1949"/>
      <c r="L33" s="1949"/>
      <c r="M33" s="2085"/>
      <c r="N33" s="2085"/>
      <c r="O33" s="2085"/>
      <c r="P33" s="2085"/>
      <c r="Q33" s="2085"/>
      <c r="R33" s="2085"/>
      <c r="S33" s="2085"/>
      <c r="T33" s="2085"/>
      <c r="U33" s="2085"/>
      <c r="V33" s="1954"/>
    </row>
    <row r="34" spans="1:22" ht="12.6" customHeight="1" thickTop="1">
      <c r="A34" s="1950">
        <f t="shared" si="0"/>
        <v>20</v>
      </c>
      <c r="B34" s="1951"/>
      <c r="D34" s="1948"/>
      <c r="E34" s="1948"/>
      <c r="F34" s="1949"/>
      <c r="G34" s="1953"/>
      <c r="H34" s="1949"/>
      <c r="I34" s="1949"/>
      <c r="J34" s="1949"/>
      <c r="K34" s="1949"/>
      <c r="L34" s="1949"/>
      <c r="M34" s="2085"/>
      <c r="N34" s="2085"/>
      <c r="O34" s="2085"/>
      <c r="P34" s="2085"/>
      <c r="Q34" s="2085"/>
      <c r="R34" s="2085"/>
      <c r="S34" s="2085"/>
      <c r="T34" s="2085"/>
      <c r="U34" s="2085"/>
      <c r="V34" s="1954"/>
    </row>
    <row r="35" spans="1:22" ht="12.6" customHeight="1">
      <c r="A35" s="1950">
        <f t="shared" si="0"/>
        <v>21</v>
      </c>
      <c r="E35" s="1948"/>
      <c r="F35" s="1949"/>
      <c r="G35" s="1956"/>
      <c r="H35" s="1949"/>
      <c r="I35" s="1949"/>
      <c r="J35" s="1949"/>
      <c r="K35" s="1949"/>
      <c r="L35" s="1949"/>
      <c r="M35" s="2085"/>
      <c r="N35" s="2085"/>
      <c r="O35" s="2085"/>
      <c r="P35" s="2085"/>
      <c r="Q35" s="2085"/>
      <c r="R35" s="2085"/>
      <c r="S35" s="2085"/>
      <c r="T35" s="2085"/>
      <c r="U35" s="2085"/>
      <c r="V35" s="1954"/>
    </row>
    <row r="36" spans="1:22" ht="12.6" customHeight="1">
      <c r="A36" s="1950">
        <f t="shared" si="0"/>
        <v>22</v>
      </c>
      <c r="B36" s="1935" t="s">
        <v>255</v>
      </c>
      <c r="D36" s="2101">
        <f>+D28</f>
        <v>7350.3386880000007</v>
      </c>
      <c r="E36" s="1948" t="s">
        <v>1209</v>
      </c>
      <c r="F36" s="1959">
        <f>+F31+F32</f>
        <v>-362.92297272000019</v>
      </c>
      <c r="G36" s="2102"/>
      <c r="H36" s="1959">
        <f>SUM(H14:H34)</f>
        <v>0</v>
      </c>
      <c r="I36" s="1949"/>
      <c r="J36" s="1959">
        <f>SUM(J14:J34)</f>
        <v>-362.92297272000019</v>
      </c>
      <c r="K36" s="1944"/>
      <c r="L36" s="1959">
        <f>SUM(L14:L34)</f>
        <v>6987.4157152800008</v>
      </c>
      <c r="M36" s="2085"/>
      <c r="N36" s="2085"/>
      <c r="O36" s="2085"/>
      <c r="P36" s="2085"/>
      <c r="Q36" s="2085"/>
      <c r="R36" s="2085"/>
      <c r="S36" s="2085"/>
      <c r="T36" s="2085"/>
      <c r="U36" s="2085"/>
      <c r="V36" s="1954"/>
    </row>
    <row r="37" spans="1:22" ht="12.6" customHeight="1">
      <c r="A37" s="1950"/>
      <c r="D37" s="1948"/>
      <c r="E37" s="1961"/>
      <c r="F37" s="1955"/>
      <c r="G37" s="1953"/>
      <c r="H37" s="1949"/>
      <c r="I37" s="1949"/>
      <c r="J37" s="1949"/>
      <c r="K37" s="1949"/>
      <c r="L37" s="2085"/>
      <c r="M37" s="2085"/>
      <c r="N37" s="2085"/>
      <c r="O37" s="2085"/>
      <c r="P37" s="2085"/>
      <c r="Q37" s="2085"/>
      <c r="R37" s="2085"/>
      <c r="S37" s="2085"/>
      <c r="T37" s="2085"/>
      <c r="U37" s="2085"/>
      <c r="V37" s="1954"/>
    </row>
    <row r="38" spans="1:22" ht="15.75">
      <c r="K38" s="2085"/>
      <c r="L38" s="2103"/>
      <c r="M38" s="2085"/>
      <c r="N38" s="2085"/>
      <c r="O38" s="2085"/>
      <c r="P38" s="2085"/>
      <c r="Q38" s="2085"/>
      <c r="R38" s="2085"/>
      <c r="S38" s="2085"/>
      <c r="T38" s="2085"/>
      <c r="U38" s="2085"/>
      <c r="V38" s="1954"/>
    </row>
    <row r="39" spans="1:22" ht="15">
      <c r="K39" s="2085"/>
      <c r="L39" s="2085"/>
      <c r="M39" s="2085"/>
      <c r="N39" s="2085"/>
      <c r="O39" s="2085"/>
      <c r="P39" s="2085"/>
      <c r="Q39" s="2085"/>
      <c r="R39" s="2085"/>
      <c r="S39" s="2085"/>
      <c r="T39" s="2085"/>
      <c r="U39" s="2085"/>
    </row>
    <row r="40" spans="1:22" ht="15.6" customHeight="1">
      <c r="B40" s="2235" t="s">
        <v>1053</v>
      </c>
      <c r="C40" s="2235"/>
      <c r="D40" s="2235"/>
      <c r="E40" s="2235"/>
      <c r="F40" s="2235"/>
      <c r="G40" s="2235"/>
      <c r="H40" s="2235"/>
      <c r="I40" s="2235"/>
      <c r="J40" s="1944"/>
      <c r="K40" s="2085"/>
      <c r="L40" s="2085"/>
      <c r="M40" s="2085"/>
      <c r="N40" s="2085"/>
      <c r="O40" s="2085"/>
      <c r="P40" s="2085"/>
      <c r="Q40" s="2085"/>
      <c r="R40" s="2085"/>
      <c r="S40" s="2085"/>
      <c r="T40" s="2085"/>
      <c r="U40" s="2085"/>
    </row>
    <row r="41" spans="1:22" ht="15">
      <c r="B41" s="2235"/>
      <c r="C41" s="2235"/>
      <c r="D41" s="2235"/>
      <c r="E41" s="2235"/>
      <c r="F41" s="2235"/>
      <c r="G41" s="2235"/>
      <c r="H41" s="2235"/>
      <c r="I41" s="2235"/>
      <c r="J41" s="1944"/>
      <c r="K41" s="1946"/>
      <c r="L41" s="1946"/>
      <c r="M41" s="2085"/>
      <c r="N41" s="2085"/>
      <c r="O41" s="2085"/>
      <c r="P41" s="2085"/>
      <c r="Q41" s="2085"/>
      <c r="R41" s="2085"/>
      <c r="S41" s="2085"/>
      <c r="T41" s="2085"/>
      <c r="U41" s="2085"/>
    </row>
    <row r="42" spans="1:22">
      <c r="B42" s="2235"/>
      <c r="C42" s="2235"/>
      <c r="D42" s="2235"/>
      <c r="E42" s="2235"/>
      <c r="F42" s="2235"/>
      <c r="G42" s="2235"/>
      <c r="H42" s="2235"/>
      <c r="I42" s="2235"/>
      <c r="J42" s="1944"/>
      <c r="K42" s="1946"/>
      <c r="L42" s="1946"/>
      <c r="M42" s="1946"/>
      <c r="N42" s="1946"/>
      <c r="O42" s="1946"/>
      <c r="P42" s="1946"/>
    </row>
    <row r="43" spans="1:22" ht="15.6" customHeight="1">
      <c r="I43" s="1962"/>
      <c r="J43" s="1944"/>
      <c r="K43" s="1946"/>
      <c r="L43" s="1946"/>
      <c r="M43" s="1946"/>
      <c r="N43" s="1946"/>
      <c r="O43" s="1946"/>
      <c r="P43" s="1946"/>
      <c r="Q43" s="1948"/>
    </row>
    <row r="44" spans="1:22">
      <c r="A44" s="1963" t="s">
        <v>1054</v>
      </c>
      <c r="B44" s="2236" t="s">
        <v>1055</v>
      </c>
      <c r="C44" s="2236"/>
      <c r="D44" s="2236"/>
      <c r="E44" s="2236"/>
      <c r="F44" s="2236"/>
      <c r="G44" s="2236"/>
      <c r="H44" s="2236"/>
      <c r="I44" s="2236"/>
      <c r="J44" s="2236"/>
      <c r="K44" s="1946"/>
      <c r="L44" s="1946"/>
      <c r="M44" s="1946"/>
      <c r="N44" s="1946"/>
      <c r="O44" s="1946"/>
      <c r="P44" s="1946"/>
      <c r="Q44" s="1948"/>
    </row>
    <row r="45" spans="1:22" ht="12.6" customHeight="1">
      <c r="A45" s="1964"/>
      <c r="B45" s="2236"/>
      <c r="C45" s="2236"/>
      <c r="D45" s="2236"/>
      <c r="E45" s="2236"/>
      <c r="F45" s="2236"/>
      <c r="G45" s="2236"/>
      <c r="H45" s="2236"/>
      <c r="I45" s="2236"/>
      <c r="J45" s="2236"/>
      <c r="K45" s="1946"/>
      <c r="L45" s="1946"/>
      <c r="M45" s="1946"/>
      <c r="N45" s="1946"/>
      <c r="O45" s="1946"/>
      <c r="P45" s="1946"/>
      <c r="Q45" s="1948"/>
    </row>
    <row r="46" spans="1:22">
      <c r="I46" s="1946"/>
      <c r="J46" s="1948"/>
      <c r="K46" s="1946"/>
      <c r="L46" s="1946"/>
      <c r="M46" s="1946"/>
      <c r="N46" s="1946"/>
      <c r="O46" s="1946"/>
      <c r="P46" s="1946"/>
      <c r="Q46" s="1948"/>
    </row>
    <row r="47" spans="1:22">
      <c r="A47" s="1935"/>
      <c r="I47" s="1946"/>
      <c r="J47" s="1948"/>
      <c r="K47" s="1946"/>
      <c r="L47" s="1946"/>
      <c r="M47" s="1946"/>
      <c r="N47" s="1946"/>
      <c r="O47" s="1946"/>
      <c r="P47" s="1946"/>
      <c r="Q47" s="1948"/>
    </row>
    <row r="48" spans="1:22">
      <c r="A48" s="1964" t="s">
        <v>1056</v>
      </c>
      <c r="B48" s="2104" t="s">
        <v>1210</v>
      </c>
      <c r="I48" s="1946"/>
      <c r="J48" s="1948"/>
      <c r="K48" s="1946"/>
      <c r="L48" s="1946"/>
      <c r="M48" s="1946"/>
      <c r="N48" s="1946"/>
      <c r="O48" s="1946"/>
      <c r="P48" s="1946"/>
      <c r="Q48" s="1948"/>
    </row>
    <row r="49" spans="1:17">
      <c r="A49" s="1964"/>
      <c r="E49" s="1966"/>
      <c r="G49" s="1946"/>
      <c r="H49" s="1946"/>
      <c r="I49" s="1946"/>
      <c r="K49" s="1946"/>
      <c r="L49" s="1946"/>
      <c r="M49" s="1946"/>
      <c r="N49" s="1946"/>
      <c r="O49" s="1946"/>
      <c r="P49" s="1946"/>
      <c r="Q49" s="1948"/>
    </row>
    <row r="50" spans="1:17">
      <c r="A50" s="2105" t="s">
        <v>1058</v>
      </c>
      <c r="B50" s="2105" t="s">
        <v>1211</v>
      </c>
      <c r="C50" s="2106"/>
      <c r="D50" s="2106"/>
      <c r="E50" s="2106"/>
      <c r="F50" s="2106"/>
      <c r="G50" s="2106"/>
      <c r="H50" s="2106"/>
      <c r="I50" s="1946"/>
      <c r="J50" s="1948"/>
      <c r="K50" s="1946"/>
      <c r="L50" s="1946"/>
      <c r="M50" s="1946"/>
      <c r="N50" s="1946"/>
      <c r="O50" s="1946"/>
      <c r="P50" s="1946"/>
      <c r="Q50" s="1948"/>
    </row>
    <row r="51" spans="1:17">
      <c r="A51" s="1935"/>
      <c r="C51" s="2106"/>
      <c r="D51" s="2106"/>
      <c r="E51" s="2106"/>
      <c r="F51" s="2106"/>
      <c r="G51" s="2106"/>
      <c r="H51" s="2106"/>
      <c r="I51" s="1946"/>
      <c r="J51" s="1948"/>
      <c r="K51" s="1946"/>
      <c r="L51" s="1946"/>
      <c r="M51" s="1946"/>
      <c r="N51" s="1946"/>
      <c r="O51" s="1946"/>
      <c r="P51" s="1946"/>
    </row>
    <row r="52" spans="1:17">
      <c r="A52" s="1935" t="s">
        <v>1060</v>
      </c>
      <c r="B52" s="2104" t="s">
        <v>1061</v>
      </c>
      <c r="C52" s="2106"/>
      <c r="D52" s="2106"/>
      <c r="E52" s="2106"/>
      <c r="F52" s="2106"/>
      <c r="G52" s="2106"/>
      <c r="H52" s="2106"/>
      <c r="I52" s="1946"/>
      <c r="J52" s="1948"/>
    </row>
  </sheetData>
  <mergeCells count="3">
    <mergeCell ref="A6:L6"/>
    <mergeCell ref="B40:I42"/>
    <mergeCell ref="B44:J45"/>
  </mergeCells>
  <pageMargins left="0.7" right="0.7" top="0.75" bottom="0.75" header="0.3" footer="0.3"/>
  <pageSetup scale="68" orientation="landscape"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E94"/>
  <sheetViews>
    <sheetView zoomScale="81" zoomScaleNormal="81" zoomScaleSheetLayoutView="80" zoomScalePageLayoutView="70" workbookViewId="0">
      <selection activeCell="Q52" activeCellId="1" sqref="AC52 Q52"/>
    </sheetView>
  </sheetViews>
  <sheetFormatPr defaultColWidth="11.42578125" defaultRowHeight="12.75"/>
  <cols>
    <col min="1" max="1" width="12.5703125" style="1553" customWidth="1"/>
    <col min="2" max="2" width="15.42578125" style="1511" customWidth="1"/>
    <col min="3" max="3" width="42.28515625" style="1511" customWidth="1"/>
    <col min="4" max="4" width="22.28515625" style="1511" customWidth="1"/>
    <col min="5" max="5" width="21" style="1511" customWidth="1"/>
    <col min="6" max="6" width="1" style="1511" customWidth="1"/>
    <col min="7" max="7" width="24" style="1511" customWidth="1"/>
    <col min="8" max="8" width="1" style="1511" customWidth="1"/>
    <col min="9" max="9" width="19.28515625" style="1511" customWidth="1"/>
    <col min="10" max="10" width="16.7109375" style="1511" customWidth="1"/>
    <col min="11" max="11" width="49.7109375" style="1511" customWidth="1"/>
    <col min="12" max="13" width="13.42578125" style="1511" customWidth="1"/>
    <col min="14" max="14" width="31" style="1511" customWidth="1"/>
    <col min="15" max="15" width="29.28515625" style="1511" customWidth="1"/>
    <col min="16" max="16" width="19.5703125" style="1511" customWidth="1"/>
    <col min="17" max="29" width="14.28515625" style="1511" customWidth="1"/>
    <col min="30" max="16384" width="11.42578125" style="1511"/>
  </cols>
  <sheetData>
    <row r="1" spans="1:30" ht="15">
      <c r="A1" s="1510"/>
      <c r="K1" s="1512"/>
      <c r="M1" s="1510"/>
      <c r="AC1" s="1512"/>
    </row>
    <row r="2" spans="1:30" ht="15">
      <c r="A2" s="2302" t="str">
        <f>+'SWT TCOS'!F4</f>
        <v xml:space="preserve">AEP West SPP Member Transmission Companies </v>
      </c>
      <c r="B2" s="2302"/>
      <c r="C2" s="2302"/>
      <c r="D2" s="2302"/>
      <c r="E2" s="2302"/>
      <c r="F2" s="2302"/>
      <c r="G2" s="2302"/>
      <c r="H2" s="2302"/>
      <c r="I2" s="2302"/>
      <c r="J2" s="2302"/>
      <c r="K2" s="2302"/>
      <c r="L2" s="650"/>
      <c r="M2" s="2302" t="str">
        <f>+A2</f>
        <v xml:space="preserve">AEP West SPP Member Transmission Companies </v>
      </c>
      <c r="N2" s="2302"/>
      <c r="O2" s="2302"/>
      <c r="P2" s="2302"/>
      <c r="Q2" s="2302"/>
      <c r="R2" s="2302"/>
      <c r="S2" s="2302"/>
      <c r="T2" s="2302"/>
      <c r="U2" s="2302"/>
      <c r="V2" s="2302"/>
      <c r="W2" s="2302"/>
      <c r="X2" s="2302"/>
      <c r="Y2" s="2302"/>
    </row>
    <row r="3" spans="1:30" ht="15">
      <c r="A3" s="2302" t="str">
        <f>+'SWT WS A-1 - Plant'!A3</f>
        <v xml:space="preserve">Actual / Projected 2022 Rate Year Cost of Service Formula Rate </v>
      </c>
      <c r="B3" s="2302"/>
      <c r="C3" s="2302"/>
      <c r="D3" s="2302"/>
      <c r="E3" s="2302"/>
      <c r="F3" s="2302"/>
      <c r="G3" s="2302"/>
      <c r="H3" s="2302"/>
      <c r="I3" s="2302"/>
      <c r="J3" s="2302"/>
      <c r="K3" s="2302"/>
      <c r="L3" s="651"/>
      <c r="M3" s="2302" t="str">
        <f>+A3</f>
        <v xml:space="preserve">Actual / Projected 2022 Rate Year Cost of Service Formula Rate </v>
      </c>
      <c r="N3" s="2302"/>
      <c r="O3" s="2302"/>
      <c r="P3" s="2302"/>
      <c r="Q3" s="2302"/>
      <c r="R3" s="2302"/>
      <c r="S3" s="2302"/>
      <c r="T3" s="2302"/>
      <c r="U3" s="2302"/>
      <c r="V3" s="2302"/>
      <c r="W3" s="2302"/>
      <c r="X3" s="2302"/>
      <c r="Y3" s="2302"/>
    </row>
    <row r="4" spans="1:30" ht="15.75">
      <c r="A4" s="2303" t="s">
        <v>880</v>
      </c>
      <c r="B4" s="2302"/>
      <c r="C4" s="2302"/>
      <c r="D4" s="2302"/>
      <c r="E4" s="2302"/>
      <c r="F4" s="2302"/>
      <c r="G4" s="2302"/>
      <c r="H4" s="2302"/>
      <c r="I4" s="2302"/>
      <c r="J4" s="2302"/>
      <c r="K4" s="2302"/>
      <c r="L4" s="1513"/>
      <c r="M4" s="2302" t="str">
        <f>+A4</f>
        <v>Worksheet D - Materials and Supplies and Prepayments</v>
      </c>
      <c r="N4" s="2302"/>
      <c r="O4" s="2302"/>
      <c r="P4" s="2302"/>
      <c r="Q4" s="2302"/>
      <c r="R4" s="2302"/>
      <c r="S4" s="2302"/>
      <c r="T4" s="2302"/>
      <c r="U4" s="2302"/>
      <c r="V4" s="2302"/>
      <c r="W4" s="2302"/>
      <c r="X4" s="2302"/>
      <c r="Y4" s="2302"/>
    </row>
    <row r="5" spans="1:30" ht="15.75">
      <c r="A5" s="2243" t="str">
        <f>+'SWT TCOS'!F8</f>
        <v>AEP SOUTHWESTERN TRANSMISSION COMPANY</v>
      </c>
      <c r="B5" s="2243"/>
      <c r="C5" s="2243"/>
      <c r="D5" s="2243"/>
      <c r="E5" s="2243"/>
      <c r="F5" s="2243"/>
      <c r="G5" s="2243"/>
      <c r="H5" s="2243"/>
      <c r="I5" s="2243"/>
      <c r="J5" s="2243"/>
      <c r="K5" s="2243"/>
      <c r="L5" s="110"/>
      <c r="M5" s="2303" t="str">
        <f>+A5</f>
        <v>AEP SOUTHWESTERN TRANSMISSION COMPANY</v>
      </c>
      <c r="N5" s="2303"/>
      <c r="O5" s="2303"/>
      <c r="P5" s="2303"/>
      <c r="Q5" s="2303"/>
      <c r="R5" s="2303"/>
      <c r="S5" s="2303"/>
      <c r="T5" s="2303"/>
      <c r="U5" s="2303"/>
      <c r="V5" s="2303"/>
      <c r="W5" s="2303"/>
      <c r="X5" s="2303"/>
      <c r="Y5" s="2303"/>
    </row>
    <row r="6" spans="1:30" ht="15">
      <c r="A6" s="110"/>
      <c r="B6" s="110"/>
      <c r="C6" s="110"/>
      <c r="D6" s="110"/>
      <c r="E6" s="110"/>
      <c r="F6" s="110"/>
      <c r="G6" s="110"/>
      <c r="H6" s="323"/>
      <c r="I6" s="1514"/>
      <c r="J6" s="1514"/>
      <c r="K6" s="1514"/>
      <c r="L6" s="1514"/>
      <c r="M6" s="110"/>
      <c r="N6" s="110"/>
      <c r="O6" s="110"/>
      <c r="P6" s="110"/>
      <c r="Q6" s="110"/>
      <c r="R6" s="110"/>
      <c r="S6" s="110"/>
      <c r="T6" s="110"/>
      <c r="U6" s="323"/>
      <c r="V6" s="1514"/>
      <c r="W6" s="1514"/>
      <c r="X6" s="1514"/>
      <c r="Y6" s="1514"/>
    </row>
    <row r="7" spans="1:30" ht="12.75" customHeight="1">
      <c r="A7" s="1515"/>
      <c r="B7" s="1515" t="s">
        <v>298</v>
      </c>
      <c r="C7" s="1515" t="s">
        <v>299</v>
      </c>
      <c r="D7" s="1515" t="s">
        <v>202</v>
      </c>
      <c r="E7" s="1515" t="s">
        <v>301</v>
      </c>
      <c r="F7" s="1515"/>
      <c r="G7" s="1515" t="s">
        <v>226</v>
      </c>
      <c r="H7" s="1515"/>
      <c r="I7" s="1515" t="s">
        <v>227</v>
      </c>
      <c r="J7" s="1515" t="s">
        <v>228</v>
      </c>
      <c r="K7" s="1515" t="s">
        <v>233</v>
      </c>
      <c r="L7" s="1515"/>
      <c r="M7" s="1515" t="s">
        <v>298</v>
      </c>
      <c r="N7" s="1515" t="s">
        <v>299</v>
      </c>
      <c r="O7" s="1515" t="s">
        <v>202</v>
      </c>
      <c r="P7" s="1515" t="s">
        <v>301</v>
      </c>
      <c r="Q7" s="1515" t="s">
        <v>226</v>
      </c>
      <c r="R7" s="1515" t="s">
        <v>227</v>
      </c>
      <c r="S7" s="1515" t="s">
        <v>228</v>
      </c>
      <c r="T7" s="1515" t="s">
        <v>233</v>
      </c>
      <c r="U7" s="1515" t="s">
        <v>174</v>
      </c>
      <c r="V7" s="1515" t="s">
        <v>73</v>
      </c>
      <c r="W7" s="1515" t="s">
        <v>828</v>
      </c>
      <c r="X7" s="1515" t="s">
        <v>551</v>
      </c>
      <c r="Y7" s="1515" t="s">
        <v>552</v>
      </c>
      <c r="Z7" s="1515" t="s">
        <v>829</v>
      </c>
      <c r="AA7" s="1515" t="s">
        <v>553</v>
      </c>
      <c r="AB7" s="1515" t="s">
        <v>831</v>
      </c>
      <c r="AC7" s="1515" t="s">
        <v>834</v>
      </c>
    </row>
    <row r="8" spans="1:30">
      <c r="A8" s="1516"/>
      <c r="M8" s="1516"/>
    </row>
    <row r="9" spans="1:30" ht="18">
      <c r="A9" s="1516"/>
      <c r="B9" s="2315" t="s">
        <v>343</v>
      </c>
      <c r="C9" s="2315"/>
      <c r="D9" s="2315"/>
      <c r="E9" s="2315"/>
      <c r="F9" s="2315"/>
      <c r="G9" s="2315"/>
      <c r="H9" s="2315"/>
      <c r="I9" s="2315"/>
      <c r="J9" s="2315"/>
      <c r="K9" s="2315"/>
      <c r="M9" s="2315" t="s">
        <v>343</v>
      </c>
      <c r="N9" s="2315"/>
      <c r="O9" s="2315"/>
      <c r="P9" s="2315"/>
      <c r="Q9" s="2315"/>
      <c r="R9" s="2315"/>
      <c r="S9" s="2315"/>
      <c r="T9" s="2315"/>
      <c r="U9" s="2315"/>
      <c r="V9" s="2315"/>
      <c r="W9" s="2315"/>
      <c r="X9" s="2315"/>
      <c r="Y9" s="2315"/>
      <c r="Z9" s="2315"/>
      <c r="AA9" s="2315"/>
      <c r="AB9" s="2315"/>
      <c r="AC9" s="2315"/>
    </row>
    <row r="10" spans="1:30">
      <c r="A10" s="1516"/>
      <c r="I10" s="270"/>
      <c r="J10" s="270"/>
    </row>
    <row r="11" spans="1:30" ht="30" customHeight="1">
      <c r="A11" s="510"/>
      <c r="B11" s="1517"/>
      <c r="C11" s="1518"/>
      <c r="D11" s="659"/>
      <c r="E11" s="131"/>
      <c r="F11" s="131"/>
      <c r="G11" s="2241" t="str">
        <f>"13 Month Average Balance for Rate Year "</f>
        <v xml:space="preserve">13 Month Average Balance for Rate Year </v>
      </c>
      <c r="H11" s="1519"/>
      <c r="J11" s="270"/>
      <c r="K11" s="1520"/>
      <c r="L11" s="510"/>
      <c r="M11" s="1521"/>
      <c r="N11" s="1521"/>
      <c r="O11" s="1521"/>
      <c r="P11" s="1521"/>
      <c r="Q11" s="2314" t="s">
        <v>827</v>
      </c>
      <c r="R11" s="2314"/>
      <c r="S11" s="2314"/>
      <c r="T11" s="2314"/>
      <c r="U11" s="2314"/>
      <c r="V11" s="2314"/>
      <c r="W11" s="2314"/>
      <c r="X11" s="2314"/>
      <c r="Y11" s="2314"/>
      <c r="Z11" s="2314"/>
      <c r="AA11" s="2314"/>
      <c r="AB11" s="2314"/>
      <c r="AC11" s="2314"/>
    </row>
    <row r="12" spans="1:30" ht="25.5">
      <c r="A12" s="663" t="s">
        <v>830</v>
      </c>
      <c r="B12" s="1522"/>
      <c r="C12" s="1517"/>
      <c r="D12" s="1523" t="s">
        <v>342</v>
      </c>
      <c r="E12" s="131"/>
      <c r="F12" s="131"/>
      <c r="G12" s="2242"/>
      <c r="H12" s="1524"/>
      <c r="J12" s="270"/>
      <c r="K12" s="1525"/>
      <c r="L12" s="510" t="s">
        <v>830</v>
      </c>
      <c r="M12" s="510" t="s">
        <v>303</v>
      </c>
      <c r="N12" s="1521"/>
      <c r="O12" s="1526" t="s">
        <v>835</v>
      </c>
      <c r="P12" s="1908" t="s">
        <v>1013</v>
      </c>
      <c r="Q12" s="1527" t="str">
        <f>"December "&amp;'SWT TCOS'!$N$2-1</f>
        <v>December 2021</v>
      </c>
      <c r="R12" s="1527" t="str">
        <f>"January "&amp;'SWT TCOS'!$N$2</f>
        <v>January 2022</v>
      </c>
      <c r="S12" s="1527" t="str">
        <f>"February "&amp;'SWT TCOS'!$N$2</f>
        <v>February 2022</v>
      </c>
      <c r="T12" s="1527" t="str">
        <f>"March "&amp;'SWT TCOS'!$N$2</f>
        <v>March 2022</v>
      </c>
      <c r="U12" s="1527" t="str">
        <f>"April "&amp;'SWT TCOS'!$N$2</f>
        <v>April 2022</v>
      </c>
      <c r="V12" s="1527" t="str">
        <f>"May "&amp;'SWT TCOS'!$N$2</f>
        <v>May 2022</v>
      </c>
      <c r="W12" s="1527" t="str">
        <f>"June "&amp;'SWT TCOS'!$N$2</f>
        <v>June 2022</v>
      </c>
      <c r="X12" s="1527" t="str">
        <f>"July "&amp;'SWT TCOS'!$N$2</f>
        <v>July 2022</v>
      </c>
      <c r="Y12" s="1527" t="str">
        <f>"August "&amp;'SWT TCOS'!$N$2</f>
        <v>August 2022</v>
      </c>
      <c r="Z12" s="1527" t="str">
        <f>"September "&amp;'SWT TCOS'!$N$2</f>
        <v>September 2022</v>
      </c>
      <c r="AA12" s="1527" t="str">
        <f>"October "&amp;'SWT TCOS'!$N$2</f>
        <v>October 2022</v>
      </c>
      <c r="AB12" s="1527" t="str">
        <f>"November "&amp;'SWT TCOS'!$N$2</f>
        <v>November 2022</v>
      </c>
      <c r="AC12" s="1527" t="str">
        <f>"December "&amp;'SWT TCOS'!$N$2</f>
        <v>December 2022</v>
      </c>
    </row>
    <row r="13" spans="1:30">
      <c r="A13" s="1522"/>
      <c r="B13" s="1522"/>
      <c r="C13" s="1517"/>
      <c r="D13" s="1514"/>
      <c r="E13" s="131"/>
      <c r="F13" s="131"/>
      <c r="H13" s="1528"/>
      <c r="J13" s="270"/>
      <c r="K13" s="1525"/>
      <c r="L13" s="1521"/>
      <c r="M13" s="1521"/>
      <c r="N13" s="1521"/>
      <c r="O13" s="1521"/>
      <c r="P13" s="1521"/>
      <c r="Q13" s="1521"/>
    </row>
    <row r="14" spans="1:30">
      <c r="A14" s="1522"/>
      <c r="B14" s="1522"/>
      <c r="D14" s="676"/>
      <c r="E14" s="131"/>
      <c r="F14" s="131"/>
      <c r="G14" s="1450"/>
      <c r="H14" s="1450"/>
      <c r="K14" s="1450"/>
      <c r="L14" s="1521"/>
      <c r="M14" s="1521"/>
      <c r="N14" s="1521"/>
      <c r="O14" s="1521"/>
      <c r="P14" s="1521"/>
      <c r="Q14" s="1521"/>
    </row>
    <row r="15" spans="1:30">
      <c r="A15" s="1522"/>
      <c r="B15" s="1522"/>
      <c r="C15" s="676"/>
      <c r="D15" s="676"/>
      <c r="E15" s="131"/>
      <c r="F15" s="131"/>
      <c r="G15" s="1450"/>
      <c r="H15" s="1450"/>
      <c r="K15" s="1450"/>
      <c r="L15" s="1521"/>
      <c r="M15" s="1521"/>
      <c r="N15" s="1521"/>
      <c r="O15" s="1521"/>
      <c r="P15" s="1529"/>
      <c r="Q15" s="1521"/>
    </row>
    <row r="16" spans="1:30">
      <c r="A16" s="1522">
        <v>1</v>
      </c>
      <c r="B16" s="1522"/>
      <c r="C16" s="676" t="s">
        <v>192</v>
      </c>
      <c r="D16" s="1530" t="s">
        <v>882</v>
      </c>
      <c r="E16" s="131"/>
      <c r="F16" s="131"/>
      <c r="G16" s="1531">
        <f>+P16</f>
        <v>0</v>
      </c>
      <c r="H16" s="1450"/>
      <c r="K16" s="1450"/>
      <c r="L16" s="1521">
        <v>1</v>
      </c>
      <c r="M16" s="676" t="s">
        <v>192</v>
      </c>
      <c r="O16" s="1530" t="s">
        <v>130</v>
      </c>
      <c r="P16" s="1895">
        <f>+SUM(Q16:AC16)/13</f>
        <v>0</v>
      </c>
      <c r="Q16" s="1906"/>
      <c r="R16" s="1906"/>
      <c r="S16" s="1906"/>
      <c r="T16" s="1906"/>
      <c r="U16" s="1906"/>
      <c r="V16" s="1906"/>
      <c r="W16" s="1906"/>
      <c r="X16" s="1906"/>
      <c r="Y16" s="1906"/>
      <c r="Z16" s="1906"/>
      <c r="AA16" s="1906"/>
      <c r="AB16" s="1906"/>
      <c r="AC16" s="1906"/>
      <c r="AD16"/>
    </row>
    <row r="17" spans="1:31">
      <c r="A17" s="1522">
        <f>+A16+1</f>
        <v>2</v>
      </c>
      <c r="B17" s="1522"/>
      <c r="C17" s="676" t="s">
        <v>193</v>
      </c>
      <c r="D17" s="1530" t="s">
        <v>884</v>
      </c>
      <c r="E17" s="131"/>
      <c r="F17" s="131"/>
      <c r="G17" s="1531">
        <f t="shared" ref="G17:G18" si="0">+P17</f>
        <v>0</v>
      </c>
      <c r="H17" s="1528"/>
      <c r="J17" s="270"/>
      <c r="K17" s="1525"/>
      <c r="L17" s="1522">
        <f>+L16+1</f>
        <v>2</v>
      </c>
      <c r="M17" s="676" t="s">
        <v>193</v>
      </c>
      <c r="O17" s="1530" t="s">
        <v>131</v>
      </c>
      <c r="P17" s="1895">
        <f>+SUM(Q17:AC17)/13</f>
        <v>0</v>
      </c>
      <c r="Q17" s="1907"/>
      <c r="R17" s="1907"/>
      <c r="S17" s="1907"/>
      <c r="T17" s="1907"/>
      <c r="U17" s="1907"/>
      <c r="V17" s="1907"/>
      <c r="W17" s="1907"/>
      <c r="X17" s="1907"/>
      <c r="Y17" s="1907"/>
      <c r="Z17" s="1907"/>
      <c r="AA17" s="1907"/>
      <c r="AB17" s="1907"/>
      <c r="AC17" s="1907"/>
      <c r="AD17"/>
    </row>
    <row r="18" spans="1:31">
      <c r="A18" s="1522">
        <f>+A17+1</f>
        <v>3</v>
      </c>
      <c r="B18" s="1522"/>
      <c r="C18" s="676" t="s">
        <v>881</v>
      </c>
      <c r="D18" s="1530" t="s">
        <v>883</v>
      </c>
      <c r="E18" s="131"/>
      <c r="F18" s="131"/>
      <c r="G18" s="1531">
        <f t="shared" si="0"/>
        <v>0</v>
      </c>
      <c r="H18" s="1528"/>
      <c r="J18" s="270"/>
      <c r="K18" s="1525"/>
      <c r="L18" s="1522">
        <f>+L17+1</f>
        <v>3</v>
      </c>
      <c r="M18" s="676" t="s">
        <v>881</v>
      </c>
      <c r="O18" s="1530" t="s">
        <v>132</v>
      </c>
      <c r="P18" s="1895">
        <f>+SUM(Q18:AC18)/13</f>
        <v>0</v>
      </c>
      <c r="Q18" s="1907"/>
      <c r="R18" s="1907"/>
      <c r="S18" s="1907"/>
      <c r="T18" s="1907"/>
      <c r="U18" s="1907"/>
      <c r="V18" s="1907"/>
      <c r="W18" s="1907"/>
      <c r="X18" s="1907"/>
      <c r="Y18" s="1907"/>
      <c r="Z18" s="1907"/>
      <c r="AA18" s="1907"/>
      <c r="AB18" s="1907"/>
      <c r="AC18" s="1907"/>
      <c r="AD18"/>
    </row>
    <row r="19" spans="1:31">
      <c r="A19" s="1511"/>
      <c r="G19" s="1531"/>
      <c r="K19" s="1525"/>
      <c r="M19" s="1521"/>
      <c r="N19" s="1521"/>
      <c r="O19" s="1521"/>
      <c r="P19" s="1529"/>
      <c r="Q19" s="1521"/>
    </row>
    <row r="20" spans="1:31" ht="18">
      <c r="A20" s="1522"/>
      <c r="B20" s="2239" t="s">
        <v>826</v>
      </c>
      <c r="C20" s="2239"/>
      <c r="D20" s="2239"/>
      <c r="E20" s="2239"/>
      <c r="F20" s="2239"/>
      <c r="G20" s="2239"/>
      <c r="H20" s="2239"/>
      <c r="I20" s="2239"/>
      <c r="J20" s="2239"/>
      <c r="K20" s="2239"/>
      <c r="L20" s="1522"/>
      <c r="M20" s="1521"/>
      <c r="N20" s="1521"/>
      <c r="O20" s="1521"/>
      <c r="P20" s="1521"/>
      <c r="Q20" s="1521"/>
    </row>
    <row r="21" spans="1:31" ht="25.5" customHeight="1">
      <c r="A21" s="1522"/>
      <c r="B21" s="506"/>
      <c r="C21" s="1450"/>
      <c r="D21" s="1450"/>
      <c r="E21" s="508"/>
      <c r="G21" s="508" t="s">
        <v>229</v>
      </c>
      <c r="I21" s="506"/>
      <c r="J21" s="506"/>
      <c r="K21" s="276"/>
      <c r="L21" s="1522"/>
      <c r="M21" s="2239" t="s">
        <v>826</v>
      </c>
      <c r="N21" s="2239"/>
      <c r="O21" s="2239"/>
      <c r="P21" s="2239"/>
      <c r="Q21" s="2239"/>
      <c r="R21" s="2239"/>
      <c r="S21" s="2239"/>
      <c r="T21" s="2239"/>
      <c r="U21" s="2239"/>
      <c r="V21" s="2239"/>
      <c r="W21" s="2239"/>
      <c r="X21" s="2239"/>
      <c r="Y21" s="2239"/>
      <c r="Z21" s="2239"/>
      <c r="AA21" s="2239"/>
      <c r="AB21" s="2239"/>
      <c r="AC21" s="2239"/>
    </row>
    <row r="22" spans="1:31" ht="25.5">
      <c r="A22" s="1522"/>
      <c r="B22" s="1533"/>
      <c r="C22" s="678"/>
      <c r="D22" s="1894" t="s">
        <v>1010</v>
      </c>
      <c r="E22" s="506" t="s">
        <v>195</v>
      </c>
      <c r="G22" s="506" t="s">
        <v>252</v>
      </c>
      <c r="I22" s="506" t="s">
        <v>190</v>
      </c>
      <c r="J22" s="506" t="s">
        <v>297</v>
      </c>
      <c r="K22" s="276"/>
      <c r="L22" s="1522"/>
      <c r="M22" s="1534" t="s">
        <v>833</v>
      </c>
      <c r="N22" s="1521"/>
      <c r="O22" s="1521"/>
      <c r="P22" s="1521"/>
      <c r="Q22" s="2314" t="s">
        <v>827</v>
      </c>
      <c r="R22" s="2314"/>
      <c r="S22" s="2314"/>
      <c r="T22" s="2314"/>
      <c r="U22" s="2314"/>
      <c r="V22" s="2314"/>
      <c r="W22" s="2314"/>
      <c r="X22" s="2314"/>
      <c r="Y22" s="2314"/>
      <c r="Z22" s="2314"/>
      <c r="AA22" s="2314"/>
      <c r="AB22" s="2314"/>
      <c r="AC22" s="2314"/>
    </row>
    <row r="23" spans="1:31" ht="25.5">
      <c r="A23" s="663" t="s">
        <v>830</v>
      </c>
      <c r="B23" s="510" t="s">
        <v>232</v>
      </c>
      <c r="C23" s="510" t="s">
        <v>303</v>
      </c>
      <c r="D23" s="663" t="str">
        <f>"Source - Page 2 of 2. Col "&amp;P7</f>
        <v>Source - Page 2 of 2. Col (D)</v>
      </c>
      <c r="E23" s="510" t="s">
        <v>175</v>
      </c>
      <c r="G23" s="510" t="s">
        <v>191</v>
      </c>
      <c r="I23" s="510" t="s">
        <v>191</v>
      </c>
      <c r="J23" s="510" t="s">
        <v>191</v>
      </c>
      <c r="K23" s="510" t="s">
        <v>214</v>
      </c>
      <c r="L23" s="510" t="s">
        <v>830</v>
      </c>
      <c r="M23" s="510" t="s">
        <v>232</v>
      </c>
      <c r="N23" s="510" t="s">
        <v>303</v>
      </c>
      <c r="O23" s="1523"/>
      <c r="P23" s="1908" t="s">
        <v>1013</v>
      </c>
      <c r="Q23" s="1527" t="str">
        <f>"December "&amp;'SWT TCOS'!$N$2-1</f>
        <v>December 2021</v>
      </c>
      <c r="R23" s="1527" t="str">
        <f>"January "&amp;'SWT TCOS'!$N$2</f>
        <v>January 2022</v>
      </c>
      <c r="S23" s="1527" t="str">
        <f>"February "&amp;'SWT TCOS'!$N$2</f>
        <v>February 2022</v>
      </c>
      <c r="T23" s="1527" t="str">
        <f>"March "&amp;'SWT TCOS'!$N$2</f>
        <v>March 2022</v>
      </c>
      <c r="U23" s="1527" t="str">
        <f>"April "&amp;'SWT TCOS'!$N$2</f>
        <v>April 2022</v>
      </c>
      <c r="V23" s="1527" t="str">
        <f>"May "&amp;'SWT TCOS'!$N$2</f>
        <v>May 2022</v>
      </c>
      <c r="W23" s="1527" t="str">
        <f>"June "&amp;'SWT TCOS'!$N$2</f>
        <v>June 2022</v>
      </c>
      <c r="X23" s="1527" t="str">
        <f>"July "&amp;'SWT TCOS'!$N$2</f>
        <v>July 2022</v>
      </c>
      <c r="Y23" s="1527" t="str">
        <f>"August "&amp;'SWT TCOS'!$N$2</f>
        <v>August 2022</v>
      </c>
      <c r="Z23" s="1527" t="str">
        <f>"September "&amp;'SWT TCOS'!$N$2</f>
        <v>September 2022</v>
      </c>
      <c r="AA23" s="1527" t="str">
        <f>"October "&amp;'SWT TCOS'!$N$2</f>
        <v>October 2022</v>
      </c>
      <c r="AB23" s="1527" t="str">
        <f>"November "&amp;'SWT TCOS'!$N$2</f>
        <v>November 2022</v>
      </c>
      <c r="AC23" s="1527" t="str">
        <f>"December "&amp;'SWT TCOS'!$N$2</f>
        <v>December 2022</v>
      </c>
      <c r="AD23" s="1521"/>
      <c r="AE23" s="1521"/>
    </row>
    <row r="24" spans="1:31">
      <c r="A24" s="1522"/>
      <c r="B24" s="1533"/>
      <c r="C24" s="1450"/>
      <c r="D24" s="1450"/>
      <c r="E24" s="1450"/>
      <c r="G24" s="1450"/>
      <c r="I24" s="1450"/>
      <c r="J24" s="1450"/>
      <c r="K24" s="276"/>
      <c r="L24" s="1522"/>
      <c r="M24" s="1521"/>
      <c r="N24" s="1521"/>
      <c r="O24" s="1521"/>
      <c r="P24" s="1521"/>
      <c r="Q24" s="1521"/>
    </row>
    <row r="25" spans="1:31">
      <c r="A25" s="325">
        <f>+A18+1</f>
        <v>4</v>
      </c>
      <c r="B25" s="680"/>
      <c r="C25" s="680"/>
      <c r="D25" s="1531">
        <f>+P25</f>
        <v>0</v>
      </c>
      <c r="E25" s="1531"/>
      <c r="F25" s="1535" t="e">
        <f>+#REF!</f>
        <v>#REF!</v>
      </c>
      <c r="G25" s="1491"/>
      <c r="H25" s="1535" t="e">
        <f>+#REF!</f>
        <v>#REF!</v>
      </c>
      <c r="I25" s="1536"/>
      <c r="J25" s="1536"/>
      <c r="K25" s="683"/>
      <c r="L25" s="325">
        <f>+L18+1</f>
        <v>4</v>
      </c>
      <c r="M25" s="680"/>
      <c r="N25" s="680"/>
      <c r="O25" s="680"/>
      <c r="P25" s="1895">
        <f t="shared" ref="P25:P49" si="1">+SUM(Q25:AC25)/13</f>
        <v>0</v>
      </c>
      <c r="Q25" s="1906"/>
      <c r="R25" s="1906"/>
      <c r="S25" s="1906"/>
      <c r="T25" s="1906"/>
      <c r="U25" s="1906"/>
      <c r="V25" s="1906"/>
      <c r="W25" s="1906"/>
      <c r="X25" s="1906"/>
      <c r="Y25" s="1906"/>
      <c r="Z25" s="1906"/>
      <c r="AA25" s="1906"/>
      <c r="AB25" s="1906"/>
      <c r="AC25" s="1906"/>
    </row>
    <row r="26" spans="1:31">
      <c r="A26" s="325">
        <f t="shared" ref="A26:A49" si="2">+A25+1</f>
        <v>5</v>
      </c>
      <c r="B26" s="680"/>
      <c r="C26" s="680"/>
      <c r="D26" s="1531">
        <f t="shared" ref="D26:D49" si="3">+P26</f>
        <v>0</v>
      </c>
      <c r="E26" s="1531"/>
      <c r="F26" s="1535"/>
      <c r="G26" s="1491"/>
      <c r="H26" s="1535"/>
      <c r="I26" s="1491"/>
      <c r="J26" s="1491"/>
      <c r="K26" s="683"/>
      <c r="L26" s="325">
        <f t="shared" ref="L26:L49" si="4">+L25+1</f>
        <v>5</v>
      </c>
      <c r="M26" s="680"/>
      <c r="N26" s="680"/>
      <c r="O26" s="680"/>
      <c r="P26" s="1895">
        <f t="shared" si="1"/>
        <v>0</v>
      </c>
      <c r="Q26" s="1906"/>
      <c r="R26" s="1906"/>
      <c r="S26" s="1906"/>
      <c r="T26" s="1906"/>
      <c r="U26" s="1906"/>
      <c r="V26" s="1906"/>
      <c r="W26" s="1906"/>
      <c r="X26" s="1906"/>
      <c r="Y26" s="1906"/>
      <c r="Z26" s="1906"/>
      <c r="AA26" s="1906"/>
      <c r="AB26" s="1906"/>
      <c r="AC26" s="1906"/>
    </row>
    <row r="27" spans="1:31">
      <c r="A27" s="325">
        <f t="shared" si="2"/>
        <v>6</v>
      </c>
      <c r="B27" s="684"/>
      <c r="C27" s="680"/>
      <c r="D27" s="1531">
        <f t="shared" si="3"/>
        <v>0</v>
      </c>
      <c r="E27" s="1531"/>
      <c r="F27" s="1535"/>
      <c r="G27" s="1491"/>
      <c r="H27" s="1535"/>
      <c r="I27" s="1491"/>
      <c r="J27" s="1491"/>
      <c r="K27" s="683"/>
      <c r="L27" s="325">
        <f t="shared" si="4"/>
        <v>6</v>
      </c>
      <c r="M27" s="685"/>
      <c r="N27" s="680"/>
      <c r="O27" s="680"/>
      <c r="P27" s="1895">
        <f t="shared" si="1"/>
        <v>0</v>
      </c>
      <c r="Q27" s="1906"/>
      <c r="R27" s="1906"/>
      <c r="S27" s="1906"/>
      <c r="T27" s="1906"/>
      <c r="U27" s="1906"/>
      <c r="V27" s="1906"/>
      <c r="W27" s="1906"/>
      <c r="X27" s="1906"/>
      <c r="Y27" s="1906"/>
      <c r="Z27" s="1906"/>
      <c r="AA27" s="1906"/>
      <c r="AB27" s="1906"/>
      <c r="AC27" s="1906"/>
    </row>
    <row r="28" spans="1:31">
      <c r="A28" s="325">
        <f t="shared" si="2"/>
        <v>7</v>
      </c>
      <c r="B28" s="680"/>
      <c r="C28" s="680"/>
      <c r="D28" s="1531">
        <f t="shared" si="3"/>
        <v>0</v>
      </c>
      <c r="E28" s="1531"/>
      <c r="F28" s="1535"/>
      <c r="G28" s="1491"/>
      <c r="H28" s="1535"/>
      <c r="I28" s="1491"/>
      <c r="J28" s="1491"/>
      <c r="K28" s="683"/>
      <c r="L28" s="325">
        <f t="shared" si="4"/>
        <v>7</v>
      </c>
      <c r="M28" s="685"/>
      <c r="N28" s="680"/>
      <c r="O28" s="680"/>
      <c r="P28" s="1895">
        <f t="shared" si="1"/>
        <v>0</v>
      </c>
      <c r="Q28" s="1906"/>
      <c r="R28" s="1906"/>
      <c r="S28" s="1906"/>
      <c r="T28" s="1906"/>
      <c r="U28" s="1906"/>
      <c r="V28" s="1906"/>
      <c r="W28" s="1906"/>
      <c r="X28" s="1906"/>
      <c r="Y28" s="1906"/>
      <c r="Z28" s="1906"/>
      <c r="AA28" s="1906"/>
      <c r="AB28" s="1906"/>
      <c r="AC28" s="1906"/>
    </row>
    <row r="29" spans="1:31">
      <c r="A29" s="325">
        <f t="shared" si="2"/>
        <v>8</v>
      </c>
      <c r="B29" s="680"/>
      <c r="C29" s="680"/>
      <c r="D29" s="1491">
        <f t="shared" si="3"/>
        <v>0</v>
      </c>
      <c r="E29" s="1491"/>
      <c r="F29" s="1535"/>
      <c r="G29" s="1491"/>
      <c r="H29" s="1535"/>
      <c r="I29" s="1491"/>
      <c r="J29" s="1491"/>
      <c r="K29" s="683"/>
      <c r="L29" s="325">
        <f t="shared" si="4"/>
        <v>8</v>
      </c>
      <c r="M29" s="685"/>
      <c r="N29" s="680"/>
      <c r="O29" s="680"/>
      <c r="P29" s="1895">
        <f t="shared" si="1"/>
        <v>0</v>
      </c>
      <c r="Q29" s="1906"/>
      <c r="R29" s="1906"/>
      <c r="S29" s="1906"/>
      <c r="T29" s="1906"/>
      <c r="U29" s="1906"/>
      <c r="V29" s="1906"/>
      <c r="W29" s="1906"/>
      <c r="X29" s="1906"/>
      <c r="Y29" s="1906"/>
      <c r="Z29" s="1906"/>
      <c r="AA29" s="1906"/>
      <c r="AB29" s="1906"/>
      <c r="AC29" s="1906"/>
    </row>
    <row r="30" spans="1:31">
      <c r="A30" s="325">
        <f t="shared" si="2"/>
        <v>9</v>
      </c>
      <c r="B30" s="680"/>
      <c r="C30" s="680"/>
      <c r="D30" s="1537">
        <f t="shared" si="3"/>
        <v>0</v>
      </c>
      <c r="E30" s="1537"/>
      <c r="F30" s="1535"/>
      <c r="G30" s="1537"/>
      <c r="H30" s="1538"/>
      <c r="I30" s="1537"/>
      <c r="J30" s="1537"/>
      <c r="K30" s="683"/>
      <c r="L30" s="325">
        <f t="shared" si="4"/>
        <v>9</v>
      </c>
      <c r="M30" s="685"/>
      <c r="N30" s="680"/>
      <c r="O30" s="680"/>
      <c r="P30" s="1895">
        <f t="shared" si="1"/>
        <v>0</v>
      </c>
      <c r="Q30" s="1906"/>
      <c r="R30" s="1906"/>
      <c r="S30" s="1906"/>
      <c r="T30" s="1906"/>
      <c r="U30" s="1906"/>
      <c r="V30" s="1906"/>
      <c r="W30" s="1906"/>
      <c r="X30" s="1906"/>
      <c r="Y30" s="1906"/>
      <c r="Z30" s="1906"/>
      <c r="AA30" s="1906"/>
      <c r="AB30" s="1906"/>
      <c r="AC30" s="1906"/>
    </row>
    <row r="31" spans="1:31">
      <c r="A31" s="325">
        <f t="shared" si="2"/>
        <v>10</v>
      </c>
      <c r="B31" s="684"/>
      <c r="C31" s="680"/>
      <c r="D31" s="1491">
        <f t="shared" si="3"/>
        <v>0</v>
      </c>
      <c r="E31" s="1491"/>
      <c r="F31" s="1535"/>
      <c r="G31" s="1491"/>
      <c r="H31" s="1538"/>
      <c r="I31" s="1491"/>
      <c r="J31" s="1491"/>
      <c r="K31" s="683"/>
      <c r="L31" s="325">
        <f t="shared" si="4"/>
        <v>10</v>
      </c>
      <c r="M31" s="685"/>
      <c r="N31" s="680"/>
      <c r="O31" s="680"/>
      <c r="P31" s="1895">
        <f t="shared" si="1"/>
        <v>0</v>
      </c>
      <c r="Q31" s="1906"/>
      <c r="R31" s="1906"/>
      <c r="S31" s="1906"/>
      <c r="T31" s="1906"/>
      <c r="U31" s="1906"/>
      <c r="V31" s="1906"/>
      <c r="W31" s="1906"/>
      <c r="X31" s="1906"/>
      <c r="Y31" s="1906"/>
      <c r="Z31" s="1906"/>
      <c r="AA31" s="1906"/>
      <c r="AB31" s="1906"/>
      <c r="AC31" s="1906"/>
    </row>
    <row r="32" spans="1:31">
      <c r="A32" s="325">
        <f t="shared" si="2"/>
        <v>11</v>
      </c>
      <c r="B32" s="684"/>
      <c r="C32" s="680"/>
      <c r="D32" s="1491">
        <f t="shared" si="3"/>
        <v>0</v>
      </c>
      <c r="E32" s="1491"/>
      <c r="F32" s="1535"/>
      <c r="G32" s="1491"/>
      <c r="H32" s="1538"/>
      <c r="I32" s="1539"/>
      <c r="J32" s="1539"/>
      <c r="K32" s="683"/>
      <c r="L32" s="325">
        <f t="shared" si="4"/>
        <v>11</v>
      </c>
      <c r="M32" s="685"/>
      <c r="N32" s="680"/>
      <c r="O32" s="680"/>
      <c r="P32" s="1895">
        <f t="shared" si="1"/>
        <v>0</v>
      </c>
      <c r="Q32" s="1906"/>
      <c r="R32" s="1906"/>
      <c r="S32" s="1906"/>
      <c r="T32" s="1906"/>
      <c r="U32" s="1906"/>
      <c r="V32" s="1906"/>
      <c r="W32" s="1906"/>
      <c r="X32" s="1906"/>
      <c r="Y32" s="1906"/>
      <c r="Z32" s="1906"/>
      <c r="AA32" s="1906"/>
      <c r="AB32" s="1906"/>
      <c r="AC32" s="1906"/>
    </row>
    <row r="33" spans="1:29">
      <c r="A33" s="325">
        <f t="shared" si="2"/>
        <v>12</v>
      </c>
      <c r="B33" s="680"/>
      <c r="C33" s="680"/>
      <c r="D33" s="1491">
        <f t="shared" si="3"/>
        <v>0</v>
      </c>
      <c r="E33" s="1491"/>
      <c r="F33" s="1535"/>
      <c r="G33" s="1491"/>
      <c r="H33" s="1538"/>
      <c r="I33" s="1491"/>
      <c r="J33" s="1491"/>
      <c r="K33" s="683"/>
      <c r="L33" s="325">
        <f t="shared" si="4"/>
        <v>12</v>
      </c>
      <c r="M33" s="685"/>
      <c r="N33" s="680"/>
      <c r="O33" s="680"/>
      <c r="P33" s="1895">
        <f t="shared" si="1"/>
        <v>0</v>
      </c>
      <c r="Q33" s="1906"/>
      <c r="R33" s="1906"/>
      <c r="S33" s="1906"/>
      <c r="T33" s="1906"/>
      <c r="U33" s="1906"/>
      <c r="V33" s="1906"/>
      <c r="W33" s="1906"/>
      <c r="X33" s="1906"/>
      <c r="Y33" s="1906"/>
      <c r="Z33" s="1906"/>
      <c r="AA33" s="1906"/>
      <c r="AB33" s="1906"/>
      <c r="AC33" s="1906"/>
    </row>
    <row r="34" spans="1:29">
      <c r="A34" s="325">
        <f t="shared" si="2"/>
        <v>13</v>
      </c>
      <c r="B34" s="689"/>
      <c r="C34" s="680"/>
      <c r="D34" s="1491">
        <f t="shared" si="3"/>
        <v>0</v>
      </c>
      <c r="E34" s="1491"/>
      <c r="F34" s="1535"/>
      <c r="G34" s="1491"/>
      <c r="H34" s="1538"/>
      <c r="I34" s="1540"/>
      <c r="J34" s="1540"/>
      <c r="K34" s="683"/>
      <c r="L34" s="325">
        <f t="shared" si="4"/>
        <v>13</v>
      </c>
      <c r="M34" s="685"/>
      <c r="N34" s="680"/>
      <c r="O34" s="680"/>
      <c r="P34" s="1895">
        <f t="shared" si="1"/>
        <v>0</v>
      </c>
      <c r="Q34" s="1906"/>
      <c r="R34" s="1906"/>
      <c r="S34" s="1906"/>
      <c r="T34" s="1906"/>
      <c r="U34" s="1906"/>
      <c r="V34" s="1906"/>
      <c r="W34" s="1906"/>
      <c r="X34" s="1906"/>
      <c r="Y34" s="1906"/>
      <c r="Z34" s="1906"/>
      <c r="AA34" s="1906"/>
      <c r="AB34" s="1906"/>
      <c r="AC34" s="1906"/>
    </row>
    <row r="35" spans="1:29">
      <c r="A35" s="325">
        <f t="shared" si="2"/>
        <v>14</v>
      </c>
      <c r="B35" s="689"/>
      <c r="C35" s="680"/>
      <c r="D35" s="1491">
        <f t="shared" si="3"/>
        <v>0</v>
      </c>
      <c r="E35" s="1491"/>
      <c r="F35" s="1535"/>
      <c r="G35" s="1491"/>
      <c r="H35" s="1538"/>
      <c r="I35" s="1536"/>
      <c r="J35" s="1536"/>
      <c r="K35" s="683"/>
      <c r="L35" s="325">
        <f t="shared" si="4"/>
        <v>14</v>
      </c>
      <c r="M35" s="685"/>
      <c r="N35" s="680"/>
      <c r="O35" s="680"/>
      <c r="P35" s="1895">
        <f t="shared" si="1"/>
        <v>0</v>
      </c>
      <c r="Q35" s="1906"/>
      <c r="R35" s="1906"/>
      <c r="S35" s="1906"/>
      <c r="T35" s="1906"/>
      <c r="U35" s="1906"/>
      <c r="V35" s="1906"/>
      <c r="W35" s="1906"/>
      <c r="X35" s="1906"/>
      <c r="Y35" s="1906"/>
      <c r="Z35" s="1906"/>
      <c r="AA35" s="1906"/>
      <c r="AB35" s="1906"/>
      <c r="AC35" s="1906"/>
    </row>
    <row r="36" spans="1:29">
      <c r="A36" s="325">
        <f t="shared" si="2"/>
        <v>15</v>
      </c>
      <c r="B36" s="689"/>
      <c r="C36" s="680"/>
      <c r="D36" s="1491">
        <f t="shared" si="3"/>
        <v>0</v>
      </c>
      <c r="E36" s="1491"/>
      <c r="F36" s="1535"/>
      <c r="G36" s="1491"/>
      <c r="H36" s="1538"/>
      <c r="I36" s="1491"/>
      <c r="J36" s="1491"/>
      <c r="K36" s="557"/>
      <c r="L36" s="325">
        <f t="shared" si="4"/>
        <v>15</v>
      </c>
      <c r="M36" s="685"/>
      <c r="N36" s="680"/>
      <c r="O36" s="680"/>
      <c r="P36" s="1895">
        <f t="shared" si="1"/>
        <v>0</v>
      </c>
      <c r="Q36" s="1906"/>
      <c r="R36" s="1906"/>
      <c r="S36" s="1906"/>
      <c r="T36" s="1906"/>
      <c r="U36" s="1906"/>
      <c r="V36" s="1906"/>
      <c r="W36" s="1906"/>
      <c r="X36" s="1906"/>
      <c r="Y36" s="1906"/>
      <c r="Z36" s="1906"/>
      <c r="AA36" s="1906"/>
      <c r="AB36" s="1906"/>
      <c r="AC36" s="1906"/>
    </row>
    <row r="37" spans="1:29">
      <c r="A37" s="325">
        <f t="shared" si="2"/>
        <v>16</v>
      </c>
      <c r="B37" s="689"/>
      <c r="C37" s="680"/>
      <c r="D37" s="1491">
        <f t="shared" si="3"/>
        <v>0</v>
      </c>
      <c r="E37" s="1491"/>
      <c r="F37" s="1535"/>
      <c r="G37" s="1491"/>
      <c r="H37" s="1538"/>
      <c r="I37" s="131"/>
      <c r="J37" s="131"/>
      <c r="K37" s="557"/>
      <c r="L37" s="325">
        <f t="shared" si="4"/>
        <v>16</v>
      </c>
      <c r="M37" s="685"/>
      <c r="N37" s="680"/>
      <c r="O37" s="680"/>
      <c r="P37" s="1895">
        <f t="shared" si="1"/>
        <v>0</v>
      </c>
      <c r="Q37" s="1906"/>
      <c r="R37" s="1906"/>
      <c r="S37" s="1906"/>
      <c r="T37" s="1906"/>
      <c r="U37" s="1906"/>
      <c r="V37" s="1906"/>
      <c r="W37" s="1906"/>
      <c r="X37" s="1906"/>
      <c r="Y37" s="1906"/>
      <c r="Z37" s="1906"/>
      <c r="AA37" s="1906"/>
      <c r="AB37" s="1906"/>
      <c r="AC37" s="1906"/>
    </row>
    <row r="38" spans="1:29">
      <c r="A38" s="325">
        <f t="shared" si="2"/>
        <v>17</v>
      </c>
      <c r="B38" s="689"/>
      <c r="C38" s="680"/>
      <c r="D38" s="1491">
        <f t="shared" si="3"/>
        <v>0</v>
      </c>
      <c r="E38" s="1491"/>
      <c r="F38" s="1535"/>
      <c r="G38" s="1491"/>
      <c r="H38" s="1538"/>
      <c r="I38" s="1491"/>
      <c r="J38" s="1491"/>
      <c r="K38" s="557"/>
      <c r="L38" s="325">
        <f t="shared" si="4"/>
        <v>17</v>
      </c>
      <c r="M38" s="685"/>
      <c r="N38" s="680"/>
      <c r="O38" s="680"/>
      <c r="P38" s="1895">
        <f t="shared" si="1"/>
        <v>0</v>
      </c>
      <c r="Q38" s="1906"/>
      <c r="R38" s="1906"/>
      <c r="S38" s="1906"/>
      <c r="T38" s="1906"/>
      <c r="U38" s="1906"/>
      <c r="V38" s="1906"/>
      <c r="W38" s="1906"/>
      <c r="X38" s="1906"/>
      <c r="Y38" s="1906"/>
      <c r="Z38" s="1906"/>
      <c r="AA38" s="1906"/>
      <c r="AB38" s="1906"/>
      <c r="AC38" s="1906"/>
    </row>
    <row r="39" spans="1:29">
      <c r="A39" s="325">
        <f t="shared" si="2"/>
        <v>18</v>
      </c>
      <c r="B39" s="689"/>
      <c r="C39" s="680"/>
      <c r="D39" s="1491">
        <f t="shared" si="3"/>
        <v>0</v>
      </c>
      <c r="E39" s="1491"/>
      <c r="F39" s="1535"/>
      <c r="G39" s="1491"/>
      <c r="H39" s="1538"/>
      <c r="I39" s="1491"/>
      <c r="J39" s="1491"/>
      <c r="K39" s="557"/>
      <c r="L39" s="325">
        <f t="shared" si="4"/>
        <v>18</v>
      </c>
      <c r="M39" s="685"/>
      <c r="N39" s="680"/>
      <c r="O39" s="680"/>
      <c r="P39" s="1895">
        <f t="shared" si="1"/>
        <v>0</v>
      </c>
      <c r="Q39" s="1906"/>
      <c r="R39" s="1906"/>
      <c r="S39" s="1906"/>
      <c r="T39" s="1906"/>
      <c r="U39" s="1906"/>
      <c r="V39" s="1906"/>
      <c r="W39" s="1906"/>
      <c r="X39" s="1906"/>
      <c r="Y39" s="1906"/>
      <c r="Z39" s="1906"/>
      <c r="AA39" s="1906"/>
      <c r="AB39" s="1906"/>
      <c r="AC39" s="1906"/>
    </row>
    <row r="40" spans="1:29">
      <c r="A40" s="325">
        <f t="shared" si="2"/>
        <v>19</v>
      </c>
      <c r="B40" s="689"/>
      <c r="C40" s="680"/>
      <c r="D40" s="1491">
        <f t="shared" si="3"/>
        <v>0</v>
      </c>
      <c r="E40" s="1491"/>
      <c r="F40" s="1535"/>
      <c r="G40" s="1491"/>
      <c r="H40" s="1538"/>
      <c r="I40" s="1491"/>
      <c r="J40" s="1491"/>
      <c r="K40" s="557"/>
      <c r="L40" s="325">
        <f t="shared" si="4"/>
        <v>19</v>
      </c>
      <c r="M40" s="685"/>
      <c r="N40" s="680"/>
      <c r="O40" s="680"/>
      <c r="P40" s="1895">
        <f t="shared" si="1"/>
        <v>0</v>
      </c>
      <c r="Q40" s="1906"/>
      <c r="R40" s="1906"/>
      <c r="S40" s="1906"/>
      <c r="T40" s="1906"/>
      <c r="U40" s="1906"/>
      <c r="V40" s="1906"/>
      <c r="W40" s="1906"/>
      <c r="X40" s="1906"/>
      <c r="Y40" s="1906"/>
      <c r="Z40" s="1906"/>
      <c r="AA40" s="1906"/>
      <c r="AB40" s="1906"/>
      <c r="AC40" s="1906"/>
    </row>
    <row r="41" spans="1:29">
      <c r="A41" s="325">
        <f t="shared" si="2"/>
        <v>20</v>
      </c>
      <c r="B41" s="689"/>
      <c r="C41" s="680"/>
      <c r="D41" s="1491">
        <f t="shared" si="3"/>
        <v>0</v>
      </c>
      <c r="E41" s="1491"/>
      <c r="F41" s="1535"/>
      <c r="G41" s="1491"/>
      <c r="H41" s="1538"/>
      <c r="I41" s="1491"/>
      <c r="J41" s="1491"/>
      <c r="K41" s="557"/>
      <c r="L41" s="325">
        <f t="shared" si="4"/>
        <v>20</v>
      </c>
      <c r="M41" s="685"/>
      <c r="N41" s="680"/>
      <c r="O41" s="680"/>
      <c r="P41" s="1895">
        <f t="shared" si="1"/>
        <v>0</v>
      </c>
      <c r="Q41" s="1906"/>
      <c r="R41" s="1906"/>
      <c r="S41" s="1906"/>
      <c r="T41" s="1906"/>
      <c r="U41" s="1906"/>
      <c r="V41" s="1906"/>
      <c r="W41" s="1906"/>
      <c r="X41" s="1906"/>
      <c r="Y41" s="1906"/>
      <c r="Z41" s="1906"/>
      <c r="AA41" s="1906"/>
      <c r="AB41" s="1906"/>
      <c r="AC41" s="1906"/>
    </row>
    <row r="42" spans="1:29">
      <c r="A42" s="325">
        <f t="shared" si="2"/>
        <v>21</v>
      </c>
      <c r="B42" s="689"/>
      <c r="C42" s="680"/>
      <c r="D42" s="1491">
        <f t="shared" si="3"/>
        <v>0</v>
      </c>
      <c r="E42" s="1491"/>
      <c r="F42" s="1535"/>
      <c r="G42" s="1491"/>
      <c r="H42" s="1538"/>
      <c r="I42" s="1491"/>
      <c r="J42" s="1537"/>
      <c r="K42" s="557"/>
      <c r="L42" s="325">
        <f t="shared" si="4"/>
        <v>21</v>
      </c>
      <c r="M42" s="685"/>
      <c r="N42" s="680"/>
      <c r="O42" s="680"/>
      <c r="P42" s="1895">
        <f t="shared" si="1"/>
        <v>0</v>
      </c>
      <c r="Q42" s="1906"/>
      <c r="R42" s="1906"/>
      <c r="S42" s="1906"/>
      <c r="T42" s="1906"/>
      <c r="U42" s="1906"/>
      <c r="V42" s="1906"/>
      <c r="W42" s="1906"/>
      <c r="X42" s="1906"/>
      <c r="Y42" s="1906"/>
      <c r="Z42" s="1906"/>
      <c r="AA42" s="1906"/>
      <c r="AB42" s="1906"/>
      <c r="AC42" s="1906"/>
    </row>
    <row r="43" spans="1:29">
      <c r="A43" s="325">
        <f t="shared" si="2"/>
        <v>22</v>
      </c>
      <c r="B43" s="689"/>
      <c r="C43" s="680"/>
      <c r="D43" s="1491">
        <f t="shared" si="3"/>
        <v>0</v>
      </c>
      <c r="E43" s="1491"/>
      <c r="F43" s="1535"/>
      <c r="G43" s="1491"/>
      <c r="H43" s="1538"/>
      <c r="I43" s="1491"/>
      <c r="J43" s="1537"/>
      <c r="K43" s="557"/>
      <c r="L43" s="325">
        <f t="shared" si="4"/>
        <v>22</v>
      </c>
      <c r="M43" s="685"/>
      <c r="N43" s="680"/>
      <c r="O43" s="680"/>
      <c r="P43" s="1895">
        <f t="shared" si="1"/>
        <v>0</v>
      </c>
      <c r="Q43" s="1906"/>
      <c r="R43" s="1906"/>
      <c r="S43" s="1906"/>
      <c r="T43" s="1906"/>
      <c r="U43" s="1906"/>
      <c r="V43" s="1906"/>
      <c r="W43" s="1906"/>
      <c r="X43" s="1906"/>
      <c r="Y43" s="1906"/>
      <c r="Z43" s="1906"/>
      <c r="AA43" s="1906"/>
      <c r="AB43" s="1906"/>
      <c r="AC43" s="1906"/>
    </row>
    <row r="44" spans="1:29">
      <c r="A44" s="325">
        <f t="shared" si="2"/>
        <v>23</v>
      </c>
      <c r="B44" s="689"/>
      <c r="C44" s="680"/>
      <c r="D44" s="1491">
        <f t="shared" si="3"/>
        <v>0</v>
      </c>
      <c r="E44" s="1491"/>
      <c r="F44" s="1535"/>
      <c r="G44" s="1491"/>
      <c r="H44" s="1538"/>
      <c r="I44" s="1491"/>
      <c r="J44" s="1537"/>
      <c r="K44" s="557"/>
      <c r="L44" s="325">
        <f t="shared" si="4"/>
        <v>23</v>
      </c>
      <c r="M44" s="685"/>
      <c r="N44" s="680"/>
      <c r="O44" s="680"/>
      <c r="P44" s="1895">
        <f t="shared" si="1"/>
        <v>0</v>
      </c>
      <c r="Q44" s="1906"/>
      <c r="R44" s="1906"/>
      <c r="S44" s="1906"/>
      <c r="T44" s="1906"/>
      <c r="U44" s="1906"/>
      <c r="V44" s="1906"/>
      <c r="W44" s="1906"/>
      <c r="X44" s="1906"/>
      <c r="Y44" s="1906"/>
      <c r="Z44" s="1906"/>
      <c r="AA44" s="1906"/>
      <c r="AB44" s="1906"/>
      <c r="AC44" s="1906"/>
    </row>
    <row r="45" spans="1:29">
      <c r="A45" s="325">
        <f t="shared" si="2"/>
        <v>24</v>
      </c>
      <c r="B45" s="689"/>
      <c r="C45" s="680"/>
      <c r="D45" s="1491">
        <f t="shared" si="3"/>
        <v>0</v>
      </c>
      <c r="E45" s="1491"/>
      <c r="F45" s="1535"/>
      <c r="G45" s="1491"/>
      <c r="H45" s="1538"/>
      <c r="I45" s="1491"/>
      <c r="J45" s="1537"/>
      <c r="K45" s="557"/>
      <c r="L45" s="325">
        <f t="shared" si="4"/>
        <v>24</v>
      </c>
      <c r="M45" s="685"/>
      <c r="N45" s="691"/>
      <c r="O45" s="691"/>
      <c r="P45" s="1895">
        <f t="shared" si="1"/>
        <v>0</v>
      </c>
      <c r="Q45" s="1906"/>
      <c r="R45" s="1906"/>
      <c r="S45" s="1906"/>
      <c r="T45" s="1906"/>
      <c r="U45" s="1906"/>
      <c r="V45" s="1906"/>
      <c r="W45" s="1906"/>
      <c r="X45" s="1906"/>
      <c r="Y45" s="1906"/>
      <c r="Z45" s="1906"/>
      <c r="AA45" s="1906"/>
      <c r="AB45" s="1906"/>
      <c r="AC45" s="1906"/>
    </row>
    <row r="46" spans="1:29">
      <c r="A46" s="325">
        <f t="shared" si="2"/>
        <v>25</v>
      </c>
      <c r="B46" s="692"/>
      <c r="C46" s="693"/>
      <c r="D46" s="1491">
        <f t="shared" si="3"/>
        <v>0</v>
      </c>
      <c r="E46" s="1491"/>
      <c r="F46" s="1541"/>
      <c r="G46" s="1542"/>
      <c r="H46" s="1543"/>
      <c r="I46" s="1542"/>
      <c r="J46" s="1542"/>
      <c r="K46" s="592"/>
      <c r="L46" s="325">
        <f t="shared" si="4"/>
        <v>25</v>
      </c>
      <c r="M46" s="685"/>
      <c r="N46" s="691"/>
      <c r="O46" s="691"/>
      <c r="P46" s="1895">
        <f t="shared" si="1"/>
        <v>0</v>
      </c>
      <c r="Q46" s="1909"/>
      <c r="R46" s="1909"/>
      <c r="S46" s="1909"/>
      <c r="T46" s="1909"/>
      <c r="U46" s="1909"/>
      <c r="V46" s="1909"/>
      <c r="W46" s="1909"/>
      <c r="X46" s="1909"/>
      <c r="Y46" s="1909"/>
      <c r="Z46" s="1909"/>
      <c r="AA46" s="1909"/>
      <c r="AB46" s="1909"/>
      <c r="AC46" s="1909"/>
    </row>
    <row r="47" spans="1:29">
      <c r="A47" s="325">
        <f t="shared" si="2"/>
        <v>26</v>
      </c>
      <c r="B47" s="689"/>
      <c r="C47" s="680"/>
      <c r="D47" s="1491">
        <f t="shared" si="3"/>
        <v>0</v>
      </c>
      <c r="E47" s="1491"/>
      <c r="F47" s="1535"/>
      <c r="G47" s="1491"/>
      <c r="H47" s="1538"/>
      <c r="I47" s="1491"/>
      <c r="J47" s="1537"/>
      <c r="K47" s="557"/>
      <c r="L47" s="325">
        <f t="shared" si="4"/>
        <v>26</v>
      </c>
      <c r="M47" s="685"/>
      <c r="N47" s="691"/>
      <c r="O47" s="691"/>
      <c r="P47" s="1895">
        <f t="shared" si="1"/>
        <v>0</v>
      </c>
      <c r="Q47" s="1906"/>
      <c r="R47" s="1906"/>
      <c r="S47" s="1906"/>
      <c r="T47" s="1906"/>
      <c r="U47" s="1906"/>
      <c r="V47" s="1906"/>
      <c r="W47" s="1906"/>
      <c r="X47" s="1906"/>
      <c r="Y47" s="1906"/>
      <c r="Z47" s="1906"/>
      <c r="AA47" s="1906"/>
      <c r="AB47" s="1906"/>
      <c r="AC47" s="1906"/>
    </row>
    <row r="48" spans="1:29">
      <c r="A48" s="325">
        <f t="shared" si="2"/>
        <v>27</v>
      </c>
      <c r="B48" s="689"/>
      <c r="C48" s="680"/>
      <c r="D48" s="1491">
        <f t="shared" si="3"/>
        <v>0</v>
      </c>
      <c r="E48" s="1491"/>
      <c r="F48" s="1535"/>
      <c r="G48" s="1491"/>
      <c r="H48" s="1535"/>
      <c r="I48" s="1491"/>
      <c r="J48" s="1537"/>
      <c r="K48" s="557"/>
      <c r="L48" s="325">
        <f t="shared" si="4"/>
        <v>27</v>
      </c>
      <c r="M48" s="685"/>
      <c r="N48" s="691"/>
      <c r="O48" s="691"/>
      <c r="P48" s="1895">
        <f t="shared" si="1"/>
        <v>0</v>
      </c>
      <c r="Q48" s="1906"/>
      <c r="R48" s="1906"/>
      <c r="S48" s="1906"/>
      <c r="T48" s="1906"/>
      <c r="U48" s="1906"/>
      <c r="V48" s="1906"/>
      <c r="W48" s="1906"/>
      <c r="X48" s="1906"/>
      <c r="Y48" s="1906"/>
      <c r="Z48" s="1906"/>
      <c r="AA48" s="1906"/>
      <c r="AB48" s="1906"/>
      <c r="AC48" s="1906"/>
    </row>
    <row r="49" spans="1:29">
      <c r="A49" s="325">
        <f t="shared" si="2"/>
        <v>28</v>
      </c>
      <c r="B49" s="689"/>
      <c r="C49" s="680"/>
      <c r="D49" s="1491">
        <f t="shared" si="3"/>
        <v>0</v>
      </c>
      <c r="E49" s="1491"/>
      <c r="F49" s="1535"/>
      <c r="G49" s="1491"/>
      <c r="H49" s="1535"/>
      <c r="I49" s="1491"/>
      <c r="J49" s="1537"/>
      <c r="K49" s="557"/>
      <c r="L49" s="325">
        <f t="shared" si="4"/>
        <v>28</v>
      </c>
      <c r="M49" s="685"/>
      <c r="N49" s="691"/>
      <c r="O49" s="691"/>
      <c r="P49" s="1895">
        <f t="shared" si="1"/>
        <v>0</v>
      </c>
      <c r="Q49" s="1906"/>
      <c r="R49" s="1906"/>
      <c r="S49" s="1906"/>
      <c r="T49" s="1906"/>
      <c r="U49" s="1906"/>
      <c r="V49" s="1906"/>
      <c r="W49" s="1906"/>
      <c r="X49" s="1906"/>
      <c r="Y49" s="1906"/>
      <c r="Z49" s="1906"/>
      <c r="AA49" s="1906"/>
      <c r="AB49" s="1906"/>
      <c r="AC49" s="1906"/>
    </row>
    <row r="50" spans="1:29" ht="13.5" thickBot="1">
      <c r="A50" s="1522"/>
      <c r="B50" s="699"/>
      <c r="C50" s="699"/>
      <c r="D50" s="1544"/>
      <c r="E50" s="1545"/>
      <c r="F50" s="1546"/>
      <c r="G50" s="1545"/>
      <c r="H50" s="1546"/>
      <c r="I50" s="1545"/>
      <c r="J50" s="1545"/>
      <c r="K50" s="703"/>
      <c r="L50" s="1522"/>
      <c r="M50" s="1521"/>
      <c r="N50" s="1521"/>
      <c r="O50" s="1521"/>
      <c r="P50" s="1529"/>
      <c r="Q50" s="1521"/>
    </row>
    <row r="51" spans="1:29">
      <c r="A51" s="1522">
        <f>+A49+1</f>
        <v>29</v>
      </c>
      <c r="B51" s="1533"/>
      <c r="C51" s="509"/>
      <c r="D51" s="1547">
        <f>SUM(D25:D50)</f>
        <v>0</v>
      </c>
      <c r="E51" s="1548">
        <f>SUM(E25:E50)</f>
        <v>0</v>
      </c>
      <c r="F51" s="1538"/>
      <c r="G51" s="1548">
        <f>SUM(G25:G50)</f>
        <v>0</v>
      </c>
      <c r="H51" s="1538"/>
      <c r="I51" s="1548">
        <f>SUM(I25:I50)</f>
        <v>0</v>
      </c>
      <c r="J51" s="1548">
        <f>SUM(J25:J50)</f>
        <v>0</v>
      </c>
      <c r="K51" s="276"/>
      <c r="L51" s="1522">
        <f>+L49+1</f>
        <v>29</v>
      </c>
      <c r="M51" s="509" t="s">
        <v>832</v>
      </c>
      <c r="O51" s="1521"/>
      <c r="P51" s="1549">
        <f t="shared" ref="P51:AC51" si="5">SUM(P25:P50)</f>
        <v>0</v>
      </c>
      <c r="Q51" s="1548">
        <f t="shared" si="5"/>
        <v>0</v>
      </c>
      <c r="R51" s="1548">
        <f t="shared" si="5"/>
        <v>0</v>
      </c>
      <c r="S51" s="1548">
        <f t="shared" si="5"/>
        <v>0</v>
      </c>
      <c r="T51" s="1548">
        <f t="shared" si="5"/>
        <v>0</v>
      </c>
      <c r="U51" s="1548">
        <f t="shared" si="5"/>
        <v>0</v>
      </c>
      <c r="V51" s="1548">
        <f t="shared" si="5"/>
        <v>0</v>
      </c>
      <c r="W51" s="1548">
        <f t="shared" si="5"/>
        <v>0</v>
      </c>
      <c r="X51" s="1548">
        <f t="shared" si="5"/>
        <v>0</v>
      </c>
      <c r="Y51" s="1548">
        <f t="shared" si="5"/>
        <v>0</v>
      </c>
      <c r="Z51" s="1548">
        <f t="shared" si="5"/>
        <v>0</v>
      </c>
      <c r="AA51" s="1548">
        <f t="shared" si="5"/>
        <v>0</v>
      </c>
      <c r="AB51" s="1548">
        <f t="shared" si="5"/>
        <v>0</v>
      </c>
      <c r="AC51" s="1548">
        <f t="shared" si="5"/>
        <v>0</v>
      </c>
    </row>
    <row r="52" spans="1:29">
      <c r="A52" s="1522"/>
      <c r="B52" s="1533"/>
      <c r="C52" s="509"/>
      <c r="D52" s="1550"/>
      <c r="E52" s="1551"/>
      <c r="F52" s="1538"/>
      <c r="G52" s="1551"/>
      <c r="H52" s="1538"/>
      <c r="I52" s="1551"/>
      <c r="J52" s="1551"/>
      <c r="K52" s="276"/>
      <c r="L52" s="1521"/>
      <c r="M52" s="1521"/>
      <c r="N52" s="1521"/>
      <c r="O52" s="1521"/>
      <c r="P52" s="1521"/>
      <c r="Q52"/>
      <c r="AC52"/>
    </row>
    <row r="53" spans="1:29" ht="49.5" customHeight="1">
      <c r="A53" s="1552" t="s">
        <v>734</v>
      </c>
      <c r="B53" s="2237" t="s">
        <v>733</v>
      </c>
      <c r="C53" s="2237"/>
      <c r="D53" s="2237"/>
      <c r="E53" s="2237"/>
      <c r="F53" s="2237"/>
      <c r="G53" s="2237"/>
      <c r="H53" s="2237"/>
      <c r="I53" s="2237"/>
      <c r="J53" s="2237"/>
      <c r="K53" s="2237"/>
      <c r="L53" s="1552" t="s">
        <v>734</v>
      </c>
      <c r="M53" s="2237"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237"/>
      <c r="O53" s="2237"/>
      <c r="P53" s="2237"/>
      <c r="Q53" s="2237"/>
      <c r="R53" s="2237"/>
      <c r="S53" s="2237"/>
      <c r="T53" s="2237"/>
      <c r="U53" s="2237"/>
      <c r="V53" s="2237"/>
      <c r="W53" s="2237"/>
      <c r="X53" s="2237"/>
      <c r="Y53" s="2237"/>
      <c r="Z53" s="2237"/>
      <c r="AA53" s="2237"/>
      <c r="AB53" s="2237"/>
      <c r="AC53" s="2237"/>
    </row>
    <row r="54" spans="1:29">
      <c r="A54" s="276"/>
      <c r="B54" s="276"/>
      <c r="C54" s="276"/>
      <c r="D54" s="276"/>
      <c r="E54" s="276"/>
      <c r="F54" s="276"/>
      <c r="G54" s="276"/>
      <c r="H54" s="276"/>
      <c r="I54" s="276"/>
      <c r="J54" s="276"/>
      <c r="K54" s="276"/>
      <c r="L54" s="276"/>
      <c r="M54" s="276"/>
      <c r="N54" s="276"/>
      <c r="O54" s="276"/>
      <c r="P54" s="276"/>
      <c r="Q54" s="276"/>
      <c r="R54" s="276"/>
    </row>
    <row r="55" spans="1:29">
      <c r="A55" s="276"/>
      <c r="B55" s="276"/>
      <c r="C55" s="276"/>
      <c r="D55" s="276"/>
      <c r="E55" s="276"/>
      <c r="F55" s="276"/>
      <c r="G55" s="276"/>
      <c r="H55" s="276"/>
      <c r="I55" s="276"/>
      <c r="J55" s="276"/>
      <c r="K55" s="276"/>
      <c r="L55" s="276"/>
      <c r="M55" s="276"/>
      <c r="N55" s="276"/>
      <c r="O55" s="276"/>
      <c r="P55" s="276"/>
      <c r="Q55" s="276"/>
      <c r="R55" s="276"/>
    </row>
    <row r="56" spans="1:29">
      <c r="A56" s="276"/>
      <c r="B56" s="276"/>
      <c r="C56" s="276"/>
      <c r="D56" s="276"/>
      <c r="E56" s="276"/>
      <c r="F56" s="276"/>
      <c r="G56" s="276"/>
      <c r="H56" s="276"/>
      <c r="I56" s="276"/>
      <c r="J56" s="276"/>
      <c r="K56" s="276"/>
      <c r="L56" s="276"/>
      <c r="M56" s="276"/>
      <c r="N56" s="276"/>
      <c r="O56" s="276"/>
      <c r="P56" s="276"/>
      <c r="Q56" s="276"/>
      <c r="R56" s="276"/>
    </row>
    <row r="57" spans="1:29">
      <c r="A57" s="276"/>
      <c r="B57" s="276"/>
      <c r="C57" s="276"/>
      <c r="D57" s="276"/>
      <c r="E57" s="276"/>
      <c r="F57" s="276"/>
      <c r="G57" s="276"/>
      <c r="H57" s="276"/>
      <c r="I57" s="276"/>
      <c r="J57" s="276"/>
      <c r="K57" s="276"/>
      <c r="L57" s="276"/>
      <c r="M57" s="276"/>
      <c r="N57" s="276"/>
      <c r="O57" s="276"/>
      <c r="P57" s="276"/>
      <c r="Q57" s="276"/>
      <c r="R57" s="276"/>
    </row>
    <row r="58" spans="1:29">
      <c r="A58" s="276"/>
      <c r="B58" s="276"/>
      <c r="C58" s="276"/>
      <c r="D58" s="276"/>
      <c r="E58" s="276"/>
      <c r="F58" s="276"/>
      <c r="G58" s="276"/>
      <c r="H58" s="276"/>
      <c r="I58" s="276"/>
      <c r="J58" s="276"/>
      <c r="K58" s="276"/>
      <c r="L58" s="276"/>
      <c r="M58" s="276"/>
      <c r="N58" s="276"/>
      <c r="O58" s="276"/>
      <c r="P58" s="276"/>
      <c r="Q58" s="276"/>
      <c r="R58" s="276"/>
    </row>
    <row r="59" spans="1:29">
      <c r="A59" s="276"/>
      <c r="B59" s="276"/>
      <c r="C59" s="276"/>
      <c r="D59" s="276"/>
      <c r="E59" s="276"/>
      <c r="F59" s="276"/>
      <c r="G59" s="276"/>
      <c r="H59" s="276"/>
      <c r="I59" s="276"/>
      <c r="J59" s="276"/>
      <c r="K59" s="276"/>
      <c r="L59" s="276"/>
      <c r="M59" s="276"/>
      <c r="N59" s="276"/>
      <c r="O59" s="276"/>
      <c r="P59" s="276"/>
      <c r="Q59" s="276"/>
      <c r="R59" s="276"/>
    </row>
    <row r="60" spans="1:29">
      <c r="A60" s="276"/>
      <c r="B60" s="276"/>
      <c r="C60" s="276"/>
      <c r="D60" s="276"/>
      <c r="E60" s="276"/>
      <c r="F60" s="276"/>
      <c r="G60" s="276"/>
      <c r="H60" s="276"/>
      <c r="I60" s="276"/>
      <c r="J60" s="276"/>
      <c r="K60" s="276"/>
      <c r="L60" s="276"/>
      <c r="M60" s="276"/>
      <c r="N60" s="276"/>
      <c r="O60" s="276"/>
      <c r="P60" s="276"/>
      <c r="Q60" s="276"/>
      <c r="R60" s="276"/>
    </row>
    <row r="61" spans="1:29">
      <c r="A61" s="276"/>
      <c r="B61" s="276"/>
      <c r="C61" s="276"/>
      <c r="D61" s="276"/>
      <c r="E61" s="276"/>
      <c r="F61" s="276"/>
      <c r="G61" s="276"/>
      <c r="H61" s="276"/>
      <c r="I61" s="276"/>
      <c r="J61" s="276"/>
      <c r="K61" s="276"/>
      <c r="L61" s="276"/>
      <c r="M61" s="276"/>
      <c r="N61" s="276"/>
      <c r="O61" s="276"/>
      <c r="P61" s="276"/>
      <c r="Q61" s="276"/>
      <c r="R61" s="276"/>
    </row>
    <row r="62" spans="1:29">
      <c r="A62" s="276"/>
      <c r="B62" s="276"/>
      <c r="C62" s="276"/>
      <c r="D62" s="276"/>
      <c r="E62" s="276"/>
      <c r="F62" s="276"/>
      <c r="G62" s="276"/>
      <c r="H62" s="276"/>
      <c r="I62" s="276"/>
      <c r="J62" s="276"/>
      <c r="K62" s="276"/>
      <c r="L62" s="276"/>
      <c r="M62" s="276"/>
      <c r="N62" s="276"/>
      <c r="O62" s="276"/>
      <c r="P62" s="276"/>
      <c r="Q62" s="276"/>
      <c r="R62" s="276"/>
    </row>
    <row r="63" spans="1:29">
      <c r="A63" s="276"/>
      <c r="B63" s="276"/>
      <c r="C63" s="276"/>
      <c r="D63" s="276"/>
      <c r="E63" s="276"/>
      <c r="F63" s="276"/>
      <c r="G63" s="276"/>
      <c r="H63" s="276"/>
      <c r="I63" s="276"/>
      <c r="J63" s="276"/>
      <c r="K63" s="276"/>
      <c r="L63" s="276"/>
      <c r="M63" s="276"/>
      <c r="N63" s="276"/>
      <c r="O63" s="276"/>
      <c r="P63" s="276"/>
      <c r="Q63" s="276"/>
      <c r="R63" s="276"/>
    </row>
    <row r="64" spans="1:29">
      <c r="A64" s="276"/>
      <c r="B64" s="276"/>
      <c r="C64" s="276"/>
      <c r="D64" s="276"/>
      <c r="E64" s="276"/>
      <c r="F64" s="276"/>
      <c r="G64" s="276"/>
      <c r="H64" s="276"/>
      <c r="I64" s="276"/>
      <c r="J64" s="276"/>
      <c r="K64" s="276"/>
      <c r="L64" s="276"/>
      <c r="M64" s="276"/>
      <c r="N64" s="276"/>
      <c r="O64" s="276"/>
      <c r="P64" s="276"/>
      <c r="Q64" s="276"/>
      <c r="R64" s="276"/>
    </row>
    <row r="65" spans="1:18">
      <c r="A65" s="276"/>
      <c r="B65" s="276"/>
      <c r="C65" s="276"/>
      <c r="D65" s="276"/>
      <c r="E65" s="276"/>
      <c r="F65" s="276"/>
      <c r="G65" s="276"/>
      <c r="H65" s="276"/>
      <c r="I65" s="276"/>
      <c r="J65" s="276"/>
      <c r="K65" s="276"/>
      <c r="L65" s="276"/>
      <c r="M65" s="276"/>
      <c r="N65" s="276"/>
      <c r="O65" s="276"/>
      <c r="P65" s="276"/>
      <c r="Q65" s="276"/>
      <c r="R65" s="276"/>
    </row>
    <row r="66" spans="1:18">
      <c r="A66" s="276"/>
      <c r="B66" s="276"/>
      <c r="C66" s="276"/>
      <c r="D66" s="276"/>
      <c r="E66" s="276"/>
      <c r="F66" s="276"/>
      <c r="G66" s="276"/>
      <c r="H66" s="276"/>
      <c r="I66" s="276"/>
      <c r="J66" s="276"/>
      <c r="K66" s="276"/>
      <c r="L66" s="276"/>
      <c r="M66" s="276"/>
      <c r="N66" s="276"/>
      <c r="O66" s="276"/>
      <c r="P66" s="276"/>
      <c r="Q66" s="276"/>
      <c r="R66" s="276"/>
    </row>
    <row r="67" spans="1:18">
      <c r="A67" s="276"/>
      <c r="B67" s="276"/>
      <c r="C67" s="276"/>
      <c r="D67" s="276"/>
      <c r="E67" s="276"/>
      <c r="F67" s="276"/>
      <c r="G67" s="276"/>
      <c r="H67" s="276"/>
      <c r="I67" s="276"/>
      <c r="J67" s="276"/>
      <c r="K67" s="276"/>
      <c r="L67" s="276"/>
      <c r="M67" s="276"/>
      <c r="N67" s="276"/>
      <c r="O67" s="276"/>
      <c r="P67" s="276"/>
      <c r="Q67" s="276"/>
      <c r="R67" s="276"/>
    </row>
    <row r="68" spans="1:18">
      <c r="A68" s="276"/>
      <c r="B68" s="276"/>
      <c r="C68" s="276"/>
      <c r="D68" s="276"/>
      <c r="E68" s="276"/>
      <c r="F68" s="276"/>
      <c r="G68" s="276"/>
      <c r="H68" s="276"/>
      <c r="I68" s="276"/>
      <c r="J68" s="276"/>
      <c r="K68" s="276"/>
      <c r="L68" s="276"/>
      <c r="M68" s="276"/>
      <c r="N68" s="276"/>
      <c r="O68" s="276"/>
      <c r="P68" s="276"/>
      <c r="Q68" s="276"/>
      <c r="R68" s="276"/>
    </row>
    <row r="69" spans="1:18">
      <c r="A69" s="276"/>
      <c r="B69" s="276"/>
      <c r="C69" s="276"/>
      <c r="D69" s="276"/>
      <c r="E69" s="276"/>
      <c r="F69" s="276"/>
      <c r="G69" s="276"/>
      <c r="H69" s="276"/>
      <c r="I69" s="276"/>
      <c r="J69" s="276"/>
      <c r="K69" s="276"/>
      <c r="L69" s="276"/>
      <c r="M69" s="276"/>
      <c r="N69" s="276"/>
      <c r="O69" s="276"/>
      <c r="P69" s="276"/>
      <c r="Q69" s="276"/>
      <c r="R69" s="276"/>
    </row>
    <row r="70" spans="1:18">
      <c r="A70" s="276"/>
      <c r="B70" s="276"/>
      <c r="C70" s="276"/>
      <c r="D70" s="276"/>
      <c r="E70" s="276"/>
      <c r="F70" s="276"/>
      <c r="G70" s="276"/>
      <c r="H70" s="276"/>
      <c r="I70" s="276"/>
      <c r="J70" s="276"/>
      <c r="K70" s="276"/>
      <c r="L70" s="276"/>
      <c r="M70" s="276"/>
      <c r="N70" s="276"/>
      <c r="O70" s="276"/>
      <c r="P70" s="276"/>
      <c r="Q70" s="276"/>
      <c r="R70" s="276"/>
    </row>
    <row r="71" spans="1:18">
      <c r="A71" s="276"/>
      <c r="B71" s="276"/>
      <c r="C71" s="276"/>
      <c r="D71" s="276"/>
      <c r="E71" s="276"/>
      <c r="F71" s="276"/>
      <c r="G71" s="276"/>
      <c r="H71" s="276"/>
      <c r="I71" s="276"/>
      <c r="J71" s="276"/>
      <c r="K71" s="276"/>
      <c r="L71" s="276"/>
      <c r="M71" s="276"/>
      <c r="N71" s="276"/>
      <c r="O71" s="276"/>
      <c r="P71" s="276"/>
      <c r="Q71" s="276"/>
      <c r="R71" s="276"/>
    </row>
    <row r="72" spans="1:18">
      <c r="A72" s="276"/>
      <c r="B72" s="276"/>
      <c r="C72" s="276"/>
      <c r="D72" s="276"/>
      <c r="E72" s="276"/>
      <c r="F72" s="276"/>
      <c r="G72" s="276"/>
      <c r="H72" s="276"/>
      <c r="I72" s="276"/>
      <c r="J72" s="276"/>
      <c r="K72" s="276"/>
      <c r="L72" s="276"/>
      <c r="M72" s="276"/>
      <c r="N72" s="276"/>
      <c r="O72" s="276"/>
      <c r="P72" s="276"/>
      <c r="Q72" s="276"/>
      <c r="R72" s="276"/>
    </row>
    <row r="73" spans="1:18">
      <c r="A73" s="276"/>
      <c r="B73" s="276"/>
      <c r="C73" s="276"/>
      <c r="D73" s="276"/>
      <c r="E73" s="276"/>
      <c r="F73" s="276"/>
      <c r="G73" s="276"/>
      <c r="H73" s="276"/>
      <c r="I73" s="276"/>
      <c r="J73" s="276"/>
      <c r="K73" s="276"/>
      <c r="L73" s="276"/>
      <c r="M73" s="276"/>
      <c r="N73" s="276"/>
      <c r="O73" s="276"/>
      <c r="P73" s="276"/>
      <c r="Q73" s="276"/>
      <c r="R73" s="276"/>
    </row>
    <row r="74" spans="1:18">
      <c r="A74" s="276"/>
      <c r="B74" s="276"/>
      <c r="C74" s="276"/>
      <c r="D74" s="276"/>
      <c r="E74" s="276"/>
      <c r="F74" s="276"/>
      <c r="G74" s="276"/>
      <c r="H74" s="276"/>
      <c r="I74" s="276"/>
      <c r="J74" s="276"/>
      <c r="K74" s="276"/>
      <c r="L74" s="276"/>
      <c r="M74" s="276"/>
      <c r="N74" s="276"/>
      <c r="O74" s="276"/>
      <c r="P74" s="276"/>
      <c r="Q74" s="276"/>
      <c r="R74" s="276"/>
    </row>
    <row r="75" spans="1:18">
      <c r="A75" s="276"/>
      <c r="B75" s="276"/>
      <c r="C75" s="276"/>
      <c r="D75" s="276"/>
      <c r="E75" s="276"/>
      <c r="F75" s="276"/>
      <c r="G75" s="276"/>
      <c r="H75" s="276"/>
      <c r="I75" s="276"/>
      <c r="J75" s="276"/>
      <c r="K75" s="276"/>
      <c r="L75" s="276"/>
      <c r="M75" s="276"/>
      <c r="N75" s="276"/>
      <c r="O75" s="276"/>
      <c r="P75" s="276"/>
      <c r="Q75" s="276"/>
      <c r="R75" s="276"/>
    </row>
    <row r="76" spans="1:18">
      <c r="A76" s="276"/>
      <c r="B76" s="276"/>
      <c r="C76" s="276"/>
      <c r="D76" s="276"/>
      <c r="E76" s="276"/>
      <c r="F76" s="276"/>
      <c r="G76" s="276"/>
      <c r="H76" s="276"/>
      <c r="I76" s="276"/>
      <c r="J76" s="276"/>
      <c r="K76" s="276"/>
      <c r="L76" s="276"/>
      <c r="M76" s="276"/>
      <c r="N76" s="276"/>
      <c r="O76" s="276"/>
      <c r="P76" s="276"/>
      <c r="Q76" s="276"/>
      <c r="R76" s="276"/>
    </row>
    <row r="77" spans="1:18">
      <c r="A77" s="276"/>
      <c r="B77" s="276"/>
      <c r="C77" s="276"/>
      <c r="D77" s="276"/>
      <c r="E77" s="276"/>
      <c r="F77" s="276"/>
      <c r="G77" s="276"/>
      <c r="H77" s="276"/>
      <c r="I77" s="276"/>
      <c r="J77" s="276"/>
      <c r="K77" s="276"/>
      <c r="L77" s="276"/>
      <c r="M77" s="276"/>
      <c r="N77" s="276"/>
      <c r="O77" s="276"/>
      <c r="P77" s="276"/>
      <c r="Q77" s="276"/>
      <c r="R77" s="276"/>
    </row>
    <row r="78" spans="1:18">
      <c r="A78" s="276"/>
      <c r="B78" s="276"/>
      <c r="C78" s="276"/>
      <c r="D78" s="276"/>
      <c r="E78" s="276"/>
      <c r="F78" s="276"/>
      <c r="G78" s="276"/>
      <c r="H78" s="276"/>
      <c r="I78" s="276"/>
      <c r="J78" s="276"/>
      <c r="K78" s="276"/>
      <c r="L78" s="276"/>
      <c r="M78" s="276"/>
      <c r="N78" s="276"/>
      <c r="O78" s="276"/>
      <c r="P78" s="276"/>
      <c r="Q78" s="276"/>
      <c r="R78" s="276"/>
    </row>
    <row r="79" spans="1:18">
      <c r="A79" s="276"/>
      <c r="B79" s="276"/>
      <c r="C79" s="276"/>
      <c r="D79" s="276"/>
      <c r="E79" s="276"/>
      <c r="F79" s="276"/>
      <c r="G79" s="276"/>
      <c r="H79" s="276"/>
      <c r="I79" s="276"/>
      <c r="J79" s="276"/>
      <c r="K79" s="276"/>
      <c r="L79" s="276"/>
      <c r="M79" s="276"/>
      <c r="N79" s="276"/>
      <c r="O79" s="276"/>
      <c r="P79" s="276"/>
      <c r="Q79" s="276"/>
      <c r="R79" s="276"/>
    </row>
    <row r="80" spans="1:18">
      <c r="A80" s="276"/>
      <c r="B80" s="276"/>
      <c r="C80" s="276"/>
      <c r="D80" s="276"/>
      <c r="E80" s="276"/>
      <c r="F80" s="276"/>
      <c r="G80" s="276"/>
      <c r="H80" s="276"/>
      <c r="I80" s="276"/>
      <c r="J80" s="276"/>
      <c r="K80" s="276"/>
      <c r="L80" s="276"/>
      <c r="M80" s="276"/>
      <c r="N80" s="276"/>
      <c r="O80" s="276"/>
      <c r="P80" s="276"/>
      <c r="Q80" s="276"/>
      <c r="R80" s="276"/>
    </row>
    <row r="81" spans="1:18">
      <c r="A81" s="276"/>
      <c r="B81" s="276"/>
      <c r="C81" s="276"/>
      <c r="D81" s="276"/>
      <c r="E81" s="276"/>
      <c r="F81" s="276"/>
      <c r="G81" s="276"/>
      <c r="H81" s="276"/>
      <c r="I81" s="276"/>
      <c r="J81" s="276"/>
      <c r="K81" s="276"/>
      <c r="L81" s="276"/>
      <c r="M81" s="276"/>
      <c r="N81" s="276"/>
      <c r="O81" s="276"/>
      <c r="P81" s="276"/>
      <c r="Q81" s="276"/>
      <c r="R81" s="276"/>
    </row>
    <row r="82" spans="1:18">
      <c r="A82" s="276"/>
      <c r="B82" s="276"/>
      <c r="C82" s="276"/>
      <c r="D82" s="276"/>
      <c r="E82" s="276"/>
      <c r="F82" s="276"/>
      <c r="G82" s="276"/>
      <c r="H82" s="276"/>
      <c r="I82" s="276"/>
      <c r="J82" s="276"/>
      <c r="K82" s="276"/>
      <c r="L82" s="276"/>
      <c r="M82" s="276"/>
      <c r="N82" s="276"/>
      <c r="O82" s="276"/>
      <c r="P82" s="276"/>
      <c r="Q82" s="276"/>
      <c r="R82" s="276"/>
    </row>
    <row r="83" spans="1:18">
      <c r="A83" s="276"/>
      <c r="B83" s="276"/>
      <c r="C83" s="276"/>
      <c r="D83" s="276"/>
      <c r="E83" s="276"/>
      <c r="F83" s="276"/>
      <c r="G83" s="276"/>
      <c r="H83" s="276"/>
      <c r="I83" s="276"/>
      <c r="J83" s="276"/>
      <c r="K83" s="276"/>
      <c r="L83" s="276"/>
      <c r="M83" s="276"/>
      <c r="N83" s="276"/>
      <c r="O83" s="276"/>
      <c r="P83" s="276"/>
      <c r="Q83" s="276"/>
      <c r="R83" s="276"/>
    </row>
    <row r="84" spans="1:18">
      <c r="A84" s="276"/>
      <c r="B84" s="276"/>
      <c r="C84" s="276"/>
      <c r="D84" s="276"/>
      <c r="E84" s="276"/>
      <c r="F84" s="276"/>
      <c r="G84" s="276"/>
      <c r="H84" s="276"/>
      <c r="I84" s="276"/>
      <c r="J84" s="276"/>
      <c r="K84" s="276"/>
      <c r="L84" s="276"/>
      <c r="M84" s="276"/>
      <c r="N84" s="276"/>
      <c r="O84" s="276"/>
      <c r="P84" s="276"/>
      <c r="Q84" s="276"/>
      <c r="R84" s="276"/>
    </row>
    <row r="85" spans="1:18">
      <c r="A85" s="276"/>
      <c r="B85" s="276"/>
      <c r="C85" s="276"/>
      <c r="D85" s="276"/>
      <c r="E85" s="276"/>
      <c r="F85" s="276"/>
      <c r="G85" s="276"/>
      <c r="H85" s="276"/>
      <c r="I85" s="276"/>
      <c r="J85" s="276"/>
      <c r="K85" s="276"/>
      <c r="L85" s="276"/>
      <c r="M85" s="276"/>
      <c r="N85" s="276"/>
      <c r="O85" s="276"/>
      <c r="P85" s="276"/>
      <c r="Q85" s="276"/>
      <c r="R85" s="276"/>
    </row>
    <row r="86" spans="1:18">
      <c r="A86" s="276"/>
      <c r="B86" s="276"/>
      <c r="C86" s="276"/>
      <c r="D86" s="276"/>
      <c r="E86" s="276"/>
      <c r="F86" s="276"/>
      <c r="G86" s="276"/>
      <c r="H86" s="276"/>
      <c r="I86" s="276"/>
      <c r="J86" s="276"/>
      <c r="K86" s="276"/>
      <c r="L86" s="276"/>
      <c r="M86" s="276"/>
      <c r="N86" s="276"/>
      <c r="O86" s="276"/>
      <c r="P86" s="276"/>
      <c r="Q86" s="276"/>
      <c r="R86" s="276"/>
    </row>
    <row r="87" spans="1:18">
      <c r="A87" s="276"/>
      <c r="B87" s="276"/>
      <c r="C87" s="276"/>
      <c r="D87" s="276"/>
      <c r="E87" s="276"/>
      <c r="F87" s="276"/>
      <c r="G87" s="276"/>
      <c r="H87" s="276"/>
      <c r="I87" s="276"/>
      <c r="J87" s="276"/>
      <c r="K87" s="276"/>
      <c r="L87" s="276"/>
      <c r="M87" s="276"/>
      <c r="N87" s="276"/>
      <c r="O87" s="276"/>
      <c r="P87" s="276"/>
      <c r="Q87" s="276"/>
      <c r="R87" s="276"/>
    </row>
    <row r="88" spans="1:18">
      <c r="A88" s="276"/>
      <c r="B88" s="276"/>
      <c r="C88" s="276"/>
      <c r="D88" s="276"/>
      <c r="E88" s="276"/>
      <c r="F88" s="276"/>
      <c r="G88" s="276"/>
      <c r="H88" s="276"/>
      <c r="I88" s="276"/>
      <c r="J88" s="276"/>
      <c r="K88" s="276"/>
      <c r="L88" s="276"/>
      <c r="M88" s="276"/>
      <c r="N88" s="276"/>
      <c r="O88" s="276"/>
      <c r="P88" s="276"/>
      <c r="Q88" s="276"/>
      <c r="R88" s="276"/>
    </row>
    <row r="89" spans="1:18">
      <c r="A89" s="276"/>
      <c r="B89" s="276"/>
      <c r="C89" s="276"/>
      <c r="D89" s="276"/>
      <c r="E89" s="276"/>
      <c r="F89" s="276"/>
      <c r="G89" s="276"/>
      <c r="H89" s="276"/>
      <c r="I89" s="276"/>
      <c r="J89" s="276"/>
      <c r="K89" s="276"/>
      <c r="L89" s="276"/>
      <c r="M89" s="276"/>
      <c r="N89" s="276"/>
      <c r="O89" s="276"/>
      <c r="P89" s="276"/>
      <c r="Q89" s="276"/>
      <c r="R89" s="276"/>
    </row>
    <row r="90" spans="1:18">
      <c r="A90" s="276"/>
      <c r="B90" s="276"/>
      <c r="C90" s="276"/>
      <c r="D90" s="276"/>
      <c r="E90" s="276"/>
      <c r="F90" s="276"/>
      <c r="G90" s="276"/>
      <c r="H90" s="276"/>
      <c r="I90" s="276"/>
      <c r="J90" s="276"/>
      <c r="K90" s="276"/>
      <c r="L90" s="276"/>
      <c r="M90" s="276"/>
      <c r="N90" s="276"/>
      <c r="O90" s="276"/>
      <c r="P90" s="276"/>
      <c r="Q90" s="276"/>
      <c r="R90" s="276"/>
    </row>
    <row r="91" spans="1:18">
      <c r="A91" s="276"/>
      <c r="B91" s="276"/>
      <c r="C91" s="276"/>
      <c r="D91" s="276"/>
      <c r="E91" s="276"/>
      <c r="F91" s="276"/>
      <c r="G91" s="276"/>
      <c r="H91" s="276"/>
      <c r="I91" s="276"/>
      <c r="J91" s="276"/>
      <c r="K91" s="276"/>
      <c r="L91" s="276"/>
      <c r="M91" s="276"/>
      <c r="N91" s="276"/>
      <c r="O91" s="276"/>
      <c r="P91" s="276"/>
      <c r="Q91" s="276"/>
      <c r="R91" s="276"/>
    </row>
    <row r="92" spans="1:18">
      <c r="A92" s="276"/>
      <c r="B92" s="276"/>
      <c r="C92" s="276"/>
      <c r="D92" s="276"/>
      <c r="E92" s="276"/>
      <c r="F92" s="276"/>
      <c r="G92" s="276"/>
      <c r="H92" s="276"/>
      <c r="I92" s="276"/>
      <c r="J92" s="276"/>
      <c r="K92" s="276"/>
      <c r="L92" s="276"/>
      <c r="M92" s="276"/>
      <c r="N92" s="276"/>
      <c r="O92" s="276"/>
      <c r="P92" s="276"/>
      <c r="Q92" s="276"/>
      <c r="R92" s="276"/>
    </row>
    <row r="93" spans="1:18">
      <c r="A93" s="276"/>
      <c r="B93" s="276"/>
      <c r="C93" s="276"/>
      <c r="D93" s="276"/>
      <c r="E93" s="276"/>
      <c r="F93" s="276"/>
      <c r="G93" s="276"/>
      <c r="H93" s="276"/>
      <c r="I93" s="276"/>
      <c r="J93" s="276"/>
      <c r="K93" s="276"/>
      <c r="L93" s="276"/>
      <c r="M93" s="276"/>
      <c r="N93" s="276"/>
      <c r="O93" s="276"/>
      <c r="P93" s="276"/>
      <c r="Q93" s="276"/>
      <c r="R93" s="276"/>
    </row>
    <row r="94" spans="1:18">
      <c r="A94" s="276"/>
      <c r="B94" s="276"/>
      <c r="C94" s="276"/>
      <c r="D94" s="276"/>
      <c r="E94" s="276"/>
      <c r="F94" s="276"/>
      <c r="G94" s="276"/>
      <c r="H94" s="276"/>
      <c r="I94" s="276"/>
      <c r="J94" s="276"/>
      <c r="K94" s="276"/>
      <c r="L94" s="276"/>
      <c r="M94" s="276"/>
      <c r="N94" s="276"/>
      <c r="O94" s="276"/>
      <c r="P94" s="276"/>
      <c r="Q94" s="276"/>
      <c r="R94" s="276"/>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3:K53"/>
    <mergeCell ref="M53:AC53"/>
  </mergeCells>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2"/>
  <sheetViews>
    <sheetView zoomScale="81" zoomScaleNormal="81" zoomScaleSheetLayoutView="100" workbookViewId="0">
      <selection activeCell="E9" sqref="E9:E21"/>
    </sheetView>
  </sheetViews>
  <sheetFormatPr defaultColWidth="8.7109375" defaultRowHeight="12.75"/>
  <cols>
    <col min="1" max="1" width="9.28515625" style="325" customWidth="1"/>
    <col min="2" max="2" width="65.28515625" style="276" bestFit="1" customWidth="1"/>
    <col min="3" max="3" width="16.42578125" style="276" bestFit="1" customWidth="1"/>
    <col min="4" max="4" width="1.5703125" style="276" customWidth="1"/>
    <col min="5" max="5" width="15" style="276" bestFit="1" customWidth="1"/>
    <col min="6" max="7" width="8.7109375" style="276"/>
    <col min="8" max="8" width="10.7109375" style="276" bestFit="1" customWidth="1"/>
    <col min="9" max="16384" width="8.7109375" style="276"/>
  </cols>
  <sheetData>
    <row r="1" spans="1:15" ht="15">
      <c r="A1" s="547"/>
    </row>
    <row r="2" spans="1:15" ht="15">
      <c r="A2" s="2192" t="str">
        <f>+'SWT TCOS'!F4</f>
        <v xml:space="preserve">AEP West SPP Member Transmission Companies </v>
      </c>
      <c r="B2" s="2192"/>
      <c r="C2" s="2192"/>
      <c r="D2" s="2192"/>
      <c r="E2" s="2192"/>
      <c r="F2" s="650"/>
      <c r="G2" s="650"/>
      <c r="H2" s="650"/>
      <c r="I2" s="650"/>
      <c r="J2" s="650"/>
      <c r="K2" s="650"/>
      <c r="L2" s="650"/>
      <c r="M2" s="650"/>
      <c r="N2" s="650"/>
      <c r="O2" s="650"/>
    </row>
    <row r="3" spans="1:15" ht="15">
      <c r="A3" s="2302" t="str">
        <f>+'SWT WS A-1 - Plant'!A3</f>
        <v xml:space="preserve">Actual / Projected 2022 Rate Year Cost of Service Formula Rate </v>
      </c>
      <c r="B3" s="2302"/>
      <c r="C3" s="2302"/>
      <c r="D3" s="2302"/>
      <c r="E3" s="2302"/>
      <c r="F3" s="1513"/>
      <c r="G3" s="1513"/>
      <c r="H3" s="1513"/>
      <c r="I3" s="1513"/>
      <c r="J3" s="1513"/>
      <c r="K3" s="1513"/>
      <c r="L3" s="1513"/>
      <c r="M3" s="651"/>
      <c r="N3" s="651"/>
      <c r="O3" s="651"/>
    </row>
    <row r="4" spans="1:15" ht="15.75">
      <c r="A4" s="2303" t="s">
        <v>111</v>
      </c>
      <c r="B4" s="2302"/>
      <c r="C4" s="2302"/>
      <c r="D4" s="2302"/>
      <c r="E4" s="2302"/>
      <c r="F4" s="1513"/>
      <c r="G4" s="1513"/>
      <c r="H4" s="1513"/>
      <c r="I4" s="1513"/>
      <c r="J4" s="1513"/>
      <c r="K4" s="1513"/>
      <c r="L4" s="1513"/>
      <c r="M4" s="1513"/>
      <c r="N4" s="1513"/>
      <c r="O4" s="1513"/>
    </row>
    <row r="5" spans="1:15" ht="15.75">
      <c r="A5" s="2243" t="str">
        <f>+'SWT TCOS'!F8</f>
        <v>AEP SOUTHWESTERN TRANSMISSION COMPANY</v>
      </c>
      <c r="B5" s="2243"/>
      <c r="C5" s="2243"/>
      <c r="D5" s="2243"/>
      <c r="E5" s="2243"/>
      <c r="F5" s="110"/>
      <c r="G5" s="110"/>
      <c r="H5" s="110"/>
      <c r="I5" s="110"/>
      <c r="J5" s="110"/>
      <c r="K5" s="110"/>
      <c r="L5" s="110"/>
      <c r="M5" s="110"/>
      <c r="N5" s="110"/>
      <c r="O5" s="110"/>
    </row>
    <row r="7" spans="1:15">
      <c r="A7" s="712" t="s">
        <v>305</v>
      </c>
      <c r="B7" s="553" t="s">
        <v>298</v>
      </c>
      <c r="C7" s="553" t="s">
        <v>299</v>
      </c>
    </row>
    <row r="8" spans="1:15">
      <c r="A8" s="712" t="s">
        <v>243</v>
      </c>
      <c r="B8" s="712" t="s">
        <v>303</v>
      </c>
      <c r="C8" s="712">
        <f>+'SWT TCOS'!N2</f>
        <v>2022</v>
      </c>
      <c r="E8"/>
      <c r="F8"/>
      <c r="G8"/>
    </row>
    <row r="9" spans="1:15">
      <c r="B9" s="713"/>
      <c r="C9" s="553"/>
      <c r="E9"/>
      <c r="F9"/>
      <c r="G9"/>
    </row>
    <row r="10" spans="1:15">
      <c r="A10" s="325">
        <v>1</v>
      </c>
      <c r="B10" s="1490" t="str">
        <f>"Net Funds from IPP Customers @ 12/31/"&amp;C8-1&amp;" ("&amp;C8&amp;" FORM 1, P269, (B))"</f>
        <v>Net Funds from IPP Customers @ 12/31/2021 (2022 FORM 1, P269, (B))</v>
      </c>
      <c r="C10" s="569">
        <v>0</v>
      </c>
      <c r="D10" s="1484"/>
      <c r="E10"/>
      <c r="F10"/>
      <c r="G10"/>
    </row>
    <row r="11" spans="1:15">
      <c r="A11" s="325" t="s">
        <v>118</v>
      </c>
      <c r="B11" s="1490"/>
      <c r="C11" s="1484"/>
      <c r="D11" s="1484"/>
      <c r="E11"/>
      <c r="F11"/>
      <c r="G11"/>
    </row>
    <row r="12" spans="1:15">
      <c r="A12" s="325">
        <v>2</v>
      </c>
      <c r="B12" s="1554" t="s">
        <v>588</v>
      </c>
      <c r="C12" s="569"/>
      <c r="D12" s="1484"/>
      <c r="E12"/>
      <c r="F12"/>
      <c r="G12"/>
    </row>
    <row r="13" spans="1:15">
      <c r="B13" s="1490"/>
      <c r="C13" s="1484"/>
      <c r="D13" s="1484"/>
      <c r="E13"/>
      <c r="F13"/>
      <c r="G13"/>
    </row>
    <row r="14" spans="1:15">
      <c r="A14" s="325">
        <f>+A12+1</f>
        <v>3</v>
      </c>
      <c r="B14" s="1554" t="s">
        <v>589</v>
      </c>
      <c r="C14" s="569">
        <v>0</v>
      </c>
      <c r="D14" s="1484"/>
      <c r="E14"/>
      <c r="F14"/>
      <c r="G14"/>
    </row>
    <row r="15" spans="1:15">
      <c r="B15" s="1490"/>
      <c r="C15" s="1484"/>
      <c r="D15" s="1484"/>
      <c r="E15"/>
      <c r="F15"/>
      <c r="G15"/>
    </row>
    <row r="16" spans="1:15">
      <c r="A16" s="325">
        <f>+A14+1</f>
        <v>4</v>
      </c>
      <c r="B16" s="715" t="s">
        <v>590</v>
      </c>
      <c r="C16" s="1484"/>
      <c r="D16" s="1484"/>
      <c r="E16"/>
      <c r="F16"/>
      <c r="G16"/>
    </row>
    <row r="17" spans="1:8">
      <c r="A17" s="325">
        <f>+A16+1</f>
        <v>5</v>
      </c>
      <c r="B17" s="1490" t="s">
        <v>355</v>
      </c>
      <c r="C17" s="567"/>
      <c r="D17" s="1484"/>
      <c r="E17"/>
      <c r="F17"/>
      <c r="G17"/>
      <c r="H17" s="1484"/>
    </row>
    <row r="18" spans="1:8">
      <c r="A18" s="325">
        <f>+A17+1</f>
        <v>6</v>
      </c>
      <c r="B18" s="1490" t="s">
        <v>251</v>
      </c>
      <c r="C18" s="567"/>
      <c r="D18" s="1484"/>
      <c r="E18"/>
      <c r="F18"/>
      <c r="G18"/>
    </row>
    <row r="19" spans="1:8">
      <c r="B19" s="1490"/>
      <c r="C19" s="1555"/>
      <c r="D19" s="1484"/>
      <c r="E19"/>
      <c r="F19"/>
      <c r="G19"/>
    </row>
    <row r="20" spans="1:8">
      <c r="A20" s="325">
        <f>+A18+1</f>
        <v>7</v>
      </c>
      <c r="B20" s="1490" t="str">
        <f>" Net Funds from IPP Customers 12/31/"&amp;C8&amp;" ("&amp;C8&amp;" FORM 1, P269, (F))"</f>
        <v xml:space="preserve"> Net Funds from IPP Customers 12/31/2022 (2022 FORM 1, P269, (F))</v>
      </c>
      <c r="C20" s="1484">
        <f>+C10+C12+C14+C17+C18</f>
        <v>0</v>
      </c>
      <c r="D20" s="1350"/>
      <c r="E20"/>
      <c r="F20"/>
      <c r="G20"/>
    </row>
    <row r="21" spans="1:8">
      <c r="B21" s="1490"/>
      <c r="C21" s="1484"/>
      <c r="D21" s="1484"/>
      <c r="E21"/>
      <c r="F21"/>
      <c r="G21"/>
    </row>
    <row r="22" spans="1:8">
      <c r="A22" s="325">
        <f>+A20+1</f>
        <v>8</v>
      </c>
      <c r="B22" s="1490" t="str">
        <f>"Average Balance for "&amp;C8&amp;" ((ln "&amp;A10&amp;" + ln "&amp;A20&amp;")/2)"</f>
        <v>Average Balance for 2022 ((ln 1 + ln 7)/2)</v>
      </c>
      <c r="C22" s="1556">
        <f>AVERAGE(C20,C10)</f>
        <v>0</v>
      </c>
      <c r="D22" s="1484"/>
      <c r="E22"/>
      <c r="F22"/>
      <c r="G22"/>
    </row>
    <row r="23" spans="1:8">
      <c r="C23" s="1484"/>
      <c r="D23" s="1484"/>
      <c r="E23"/>
      <c r="F23"/>
      <c r="G23"/>
    </row>
    <row r="24" spans="1:8">
      <c r="C24" s="1484"/>
      <c r="D24" s="1484"/>
      <c r="E24"/>
      <c r="F24"/>
      <c r="G24"/>
    </row>
    <row r="25" spans="1:8">
      <c r="E25"/>
      <c r="F25"/>
      <c r="G25"/>
    </row>
    <row r="26" spans="1:8">
      <c r="E26"/>
      <c r="F26"/>
      <c r="G26"/>
    </row>
    <row r="31" spans="1:8">
      <c r="D31" s="1557"/>
    </row>
    <row r="37" spans="3:3">
      <c r="C37" s="1558"/>
    </row>
    <row r="54" spans="1:1">
      <c r="A54" s="276"/>
    </row>
    <row r="55" spans="1:1">
      <c r="A55" s="276"/>
    </row>
    <row r="56" spans="1:1">
      <c r="A56" s="276"/>
    </row>
    <row r="57" spans="1:1">
      <c r="A57" s="276"/>
    </row>
    <row r="58" spans="1:1">
      <c r="A58" s="276"/>
    </row>
    <row r="59" spans="1:1">
      <c r="A59" s="276"/>
    </row>
    <row r="60" spans="1:1">
      <c r="A60" s="276"/>
    </row>
    <row r="61" spans="1:1">
      <c r="A61" s="276"/>
    </row>
    <row r="62" spans="1:1">
      <c r="A62" s="276"/>
    </row>
    <row r="63" spans="1:1">
      <c r="A63" s="276"/>
    </row>
    <row r="64" spans="1:1">
      <c r="A64" s="276"/>
    </row>
    <row r="65" spans="1:1">
      <c r="A65" s="276"/>
    </row>
    <row r="66" spans="1:1">
      <c r="A66" s="276"/>
    </row>
    <row r="67" spans="1:1">
      <c r="A67" s="276"/>
    </row>
    <row r="68" spans="1:1">
      <c r="A68" s="276"/>
    </row>
    <row r="69" spans="1:1">
      <c r="A69" s="276"/>
    </row>
    <row r="70" spans="1:1">
      <c r="A70" s="276"/>
    </row>
    <row r="71" spans="1:1">
      <c r="A71" s="276"/>
    </row>
    <row r="72" spans="1:1">
      <c r="A72" s="276"/>
    </row>
    <row r="73" spans="1:1">
      <c r="A73" s="276"/>
    </row>
    <row r="74" spans="1:1">
      <c r="A74" s="276"/>
    </row>
    <row r="75" spans="1:1">
      <c r="A75" s="276"/>
    </row>
    <row r="76" spans="1:1">
      <c r="A76" s="276"/>
    </row>
    <row r="77" spans="1:1">
      <c r="A77" s="276"/>
    </row>
    <row r="78" spans="1:1">
      <c r="A78" s="276"/>
    </row>
    <row r="79" spans="1:1">
      <c r="A79" s="276"/>
    </row>
    <row r="80" spans="1:1">
      <c r="A80" s="276"/>
    </row>
    <row r="81" spans="1:1">
      <c r="A81" s="276"/>
    </row>
    <row r="82" spans="1:1">
      <c r="A82" s="276"/>
    </row>
    <row r="83" spans="1:1">
      <c r="A83" s="276"/>
    </row>
    <row r="84" spans="1:1">
      <c r="A84" s="276"/>
    </row>
    <row r="85" spans="1:1">
      <c r="A85" s="276"/>
    </row>
    <row r="86" spans="1:1">
      <c r="A86" s="276"/>
    </row>
    <row r="87" spans="1:1">
      <c r="A87" s="276"/>
    </row>
    <row r="88" spans="1:1">
      <c r="A88" s="276"/>
    </row>
    <row r="89" spans="1:1">
      <c r="A89" s="276"/>
    </row>
    <row r="90" spans="1:1">
      <c r="A90" s="276"/>
    </row>
    <row r="91" spans="1:1">
      <c r="A91" s="276"/>
    </row>
    <row r="92" spans="1:1">
      <c r="A92" s="276"/>
    </row>
    <row r="93" spans="1:1">
      <c r="A93" s="276"/>
    </row>
    <row r="94" spans="1:1">
      <c r="A94" s="276"/>
    </row>
    <row r="95" spans="1:1">
      <c r="A95" s="276"/>
    </row>
    <row r="96" spans="1:1">
      <c r="A96" s="276"/>
    </row>
    <row r="97" spans="1:1">
      <c r="A97" s="276"/>
    </row>
    <row r="98" spans="1:1">
      <c r="A98" s="276"/>
    </row>
    <row r="99" spans="1:1">
      <c r="A99" s="276"/>
    </row>
    <row r="100" spans="1:1">
      <c r="A100" s="276"/>
    </row>
    <row r="101" spans="1:1">
      <c r="A101" s="276"/>
    </row>
    <row r="102" spans="1:1">
      <c r="A102" s="276"/>
    </row>
  </sheetData>
  <mergeCells count="4">
    <mergeCell ref="A2:E2"/>
    <mergeCell ref="A3:E3"/>
    <mergeCell ref="A4:E4"/>
    <mergeCell ref="A5:E5"/>
  </mergeCells>
  <printOptions horizontalCentered="1"/>
  <pageMargins left="0.75" right="0.75" top="1" bottom="0.25" header="0.25" footer="0.5"/>
  <pageSetup scale="83"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171"/>
  <sheetViews>
    <sheetView zoomScale="81" zoomScaleNormal="81" zoomScaleSheetLayoutView="90" zoomScalePageLayoutView="80" workbookViewId="0">
      <selection activeCell="Q26" sqref="Q26"/>
    </sheetView>
  </sheetViews>
  <sheetFormatPr defaultColWidth="8.7109375" defaultRowHeight="12.75"/>
  <cols>
    <col min="1" max="1" width="9.28515625" style="276" customWidth="1"/>
    <col min="2" max="2" width="6.7109375" style="276" customWidth="1"/>
    <col min="3" max="3" width="24.5703125" style="276" customWidth="1"/>
    <col min="4" max="4" width="17.7109375" style="325" customWidth="1"/>
    <col min="5" max="5" width="21.7109375" style="276" customWidth="1"/>
    <col min="6" max="8" width="17.7109375" style="276" customWidth="1"/>
    <col min="9" max="9" width="19.5703125" style="1350" customWidth="1"/>
    <col min="10" max="12" width="17.7109375" style="276" customWidth="1"/>
    <col min="13" max="13" width="20" style="276" customWidth="1"/>
    <col min="14" max="14" width="19.5703125" style="276" customWidth="1"/>
    <col min="15" max="15" width="19" style="270" customWidth="1"/>
    <col min="16" max="16" width="16.42578125" style="270" customWidth="1"/>
    <col min="17" max="17" width="57.7109375" style="276" bestFit="1" customWidth="1"/>
    <col min="18" max="16384" width="8.7109375" style="276"/>
  </cols>
  <sheetData>
    <row r="1" spans="1:19" ht="15">
      <c r="A1" s="547"/>
    </row>
    <row r="2" spans="1:19" ht="18">
      <c r="A2" s="2305" t="str">
        <f>'SWT TCOS'!F4</f>
        <v xml:space="preserve">AEP West SPP Member Transmission Companies </v>
      </c>
      <c r="B2" s="2305"/>
      <c r="C2" s="2305"/>
      <c r="D2" s="2305"/>
      <c r="E2" s="2305"/>
      <c r="F2" s="2305"/>
      <c r="G2" s="2305"/>
      <c r="H2" s="2305"/>
      <c r="I2" s="2305"/>
    </row>
    <row r="3" spans="1:19" ht="18">
      <c r="A3" s="2305" t="str">
        <f>+'SWT WS A-1 - Plant'!A3</f>
        <v xml:space="preserve">Actual / Projected 2022 Rate Year Cost of Service Formula Rate </v>
      </c>
      <c r="B3" s="2305"/>
      <c r="C3" s="2305"/>
      <c r="D3" s="2305"/>
      <c r="E3" s="2305"/>
      <c r="F3" s="2305"/>
      <c r="G3" s="2305"/>
      <c r="H3" s="2305"/>
      <c r="I3" s="2305"/>
      <c r="P3" s="720"/>
    </row>
    <row r="4" spans="1:19" ht="18">
      <c r="A4" s="2305" t="s">
        <v>629</v>
      </c>
      <c r="B4" s="2305"/>
      <c r="C4" s="2305"/>
      <c r="D4" s="2305"/>
      <c r="E4" s="2305"/>
      <c r="F4" s="2305"/>
      <c r="G4" s="2305"/>
      <c r="H4" s="2305"/>
      <c r="I4" s="2305"/>
    </row>
    <row r="5" spans="1:19" ht="18">
      <c r="A5" s="2199" t="str">
        <f>+'SWT TCOS'!F8</f>
        <v>AEP SOUTHWESTERN TRANSMISSION COMPANY</v>
      </c>
      <c r="B5" s="2199"/>
      <c r="C5" s="2199"/>
      <c r="D5" s="2199"/>
      <c r="E5" s="2199"/>
      <c r="F5" s="2199"/>
      <c r="G5" s="2199"/>
      <c r="H5" s="2199"/>
      <c r="I5" s="2199"/>
      <c r="P5" s="276"/>
    </row>
    <row r="6" spans="1:19" ht="20.25">
      <c r="A6" s="504"/>
      <c r="C6" s="721"/>
      <c r="P6" s="720" t="s">
        <v>495</v>
      </c>
    </row>
    <row r="7" spans="1:19" ht="35.25" customHeight="1">
      <c r="A7" s="1559" t="s">
        <v>305</v>
      </c>
      <c r="B7" s="723" t="s">
        <v>307</v>
      </c>
      <c r="C7" s="2250" t="str">
        <f>"Calculate Return and Income Taxes with "&amp;F12&amp;" basis point ROE increase for Projects Qualified for Incentive."</f>
        <v>Calculate Return and Income Taxes with 0 basis point ROE increase for Projects Qualified for Incentive.</v>
      </c>
      <c r="D7" s="2306"/>
      <c r="E7" s="2306"/>
      <c r="F7" s="2306"/>
      <c r="G7" s="2306"/>
      <c r="H7" s="2306"/>
      <c r="I7" s="2306"/>
      <c r="J7" s="2307" t="s">
        <v>427</v>
      </c>
      <c r="K7" s="2307"/>
      <c r="L7" s="2307"/>
      <c r="M7" s="2307"/>
      <c r="N7" s="2307"/>
    </row>
    <row r="8" spans="1:19" ht="15.75" customHeight="1">
      <c r="A8" s="1559" t="s">
        <v>243</v>
      </c>
      <c r="C8" s="335"/>
      <c r="D8" s="335"/>
      <c r="E8" s="335"/>
      <c r="F8" s="335"/>
      <c r="G8" s="335"/>
      <c r="H8" s="335"/>
      <c r="I8" s="335"/>
      <c r="J8" s="2307"/>
      <c r="K8" s="2307"/>
      <c r="L8" s="2307"/>
      <c r="M8" s="2307"/>
      <c r="N8" s="2307"/>
      <c r="P8" s="276"/>
      <c r="Q8" s="276" t="s">
        <v>163</v>
      </c>
    </row>
    <row r="9" spans="1:19" ht="15.75">
      <c r="C9" s="725" t="str">
        <f>"A.   Determine 'R' with hypothetical "&amp;F12&amp;" basis point increase in ROE for Identified Projects"</f>
        <v>A.   Determine 'R' with hypothetical 0 basis point increase in ROE for Identified Projects</v>
      </c>
      <c r="J9" s="2307"/>
      <c r="K9" s="2307"/>
      <c r="L9" s="2307"/>
      <c r="M9" s="2307"/>
      <c r="N9" s="2307"/>
      <c r="P9" s="726" t="s">
        <v>157</v>
      </c>
      <c r="Q9" s="720" t="s">
        <v>88</v>
      </c>
    </row>
    <row r="10" spans="1:19" ht="18" customHeight="1" thickBot="1">
      <c r="J10" s="2307"/>
      <c r="K10" s="2307"/>
      <c r="L10" s="2307"/>
      <c r="M10" s="2307"/>
      <c r="N10" s="2307"/>
      <c r="P10" s="720" t="s">
        <v>434</v>
      </c>
    </row>
    <row r="11" spans="1:19" ht="13.5" thickBot="1">
      <c r="A11" s="325">
        <v>1</v>
      </c>
      <c r="C11" s="27" t="str">
        <f>"   ROE w/o incentives  (TCOS, ln "&amp;'SWT TCOS'!B237&amp;")"</f>
        <v xml:space="preserve">   ROE w/o incentives  (TCOS, ln 143)</v>
      </c>
      <c r="E11" s="1560"/>
      <c r="F11" s="1561">
        <f>+'SWT TCOS'!J237</f>
        <v>0.105</v>
      </c>
      <c r="G11" s="1561"/>
      <c r="H11" s="1562"/>
      <c r="I11" s="1563"/>
      <c r="J11" s="335"/>
      <c r="K11" s="335"/>
      <c r="L11" s="335"/>
      <c r="M11" s="335"/>
      <c r="N11" s="335"/>
      <c r="O11" s="1564"/>
      <c r="P11" s="1565" t="s">
        <v>476</v>
      </c>
      <c r="Q11" s="1566" t="s">
        <v>87</v>
      </c>
      <c r="R11" s="734"/>
    </row>
    <row r="12" spans="1:19" ht="18" customHeight="1">
      <c r="A12" s="325">
        <f>+A11+1</f>
        <v>2</v>
      </c>
      <c r="C12" s="27" t="s">
        <v>145</v>
      </c>
      <c r="E12" s="1560"/>
      <c r="F12" s="735">
        <v>0</v>
      </c>
      <c r="G12" s="1567" t="s">
        <v>335</v>
      </c>
      <c r="I12" s="276"/>
      <c r="J12" s="2244" t="s">
        <v>189</v>
      </c>
      <c r="K12" s="2245"/>
      <c r="L12" s="2245"/>
      <c r="M12" s="2245"/>
      <c r="N12" s="2246"/>
      <c r="O12" s="1564"/>
      <c r="P12" s="1568">
        <f>+K19</f>
        <v>2022</v>
      </c>
      <c r="Q12" s="1569" t="s">
        <v>51</v>
      </c>
      <c r="R12" s="734"/>
    </row>
    <row r="13" spans="1:19" ht="17.25" customHeight="1">
      <c r="A13" s="325">
        <f>+A12+1</f>
        <v>3</v>
      </c>
      <c r="C13" s="27" t="str">
        <f>"   ROE with additional "&amp;F12&amp;" basis point incentive"</f>
        <v xml:space="preserve">   ROE with additional 0 basis point incentive</v>
      </c>
      <c r="D13" s="1560"/>
      <c r="E13" s="1560"/>
      <c r="F13" s="1570">
        <f>IF((F11+(F12/10000)&gt;0.1245),"ERROR",F11+(F12/10000))</f>
        <v>0.105</v>
      </c>
      <c r="G13" s="740" t="s">
        <v>628</v>
      </c>
      <c r="I13" s="1571"/>
      <c r="J13" s="2247"/>
      <c r="K13" s="2248"/>
      <c r="L13" s="2248"/>
      <c r="M13" s="2248"/>
      <c r="N13" s="2249"/>
      <c r="O13" s="1564"/>
      <c r="P13" s="358">
        <f>+F11</f>
        <v>0.105</v>
      </c>
      <c r="Q13" s="276" t="str">
        <f>+C11</f>
        <v xml:space="preserve">   ROE w/o incentives  (TCOS, ln 143)</v>
      </c>
      <c r="R13" s="1572"/>
      <c r="S13" s="270"/>
    </row>
    <row r="14" spans="1:19" ht="16.5" customHeight="1">
      <c r="A14" s="325">
        <f t="shared" ref="A14:A73" si="0">+A13+1</f>
        <v>4</v>
      </c>
      <c r="C14" s="1573" t="str">
        <f>"   Determine R  (cost of long term debt, cost of preferred stock and percent is from TCOS, lns "&amp;'SWT TCOS'!B235&amp;" through "&amp;'SWT TCOS'!B237&amp;")"</f>
        <v xml:space="preserve">   Determine R  (cost of long term debt, cost of preferred stock and percent is from TCOS, lns 141 through 143)</v>
      </c>
      <c r="E14" s="1560"/>
      <c r="F14" s="1570"/>
      <c r="G14" s="1570"/>
      <c r="H14" s="1560"/>
      <c r="I14" s="1571"/>
      <c r="J14" s="2247"/>
      <c r="K14" s="2248"/>
      <c r="L14" s="2248"/>
      <c r="M14" s="2248"/>
      <c r="N14" s="2249"/>
      <c r="O14" s="1564"/>
      <c r="P14" s="1574">
        <f>+F12</f>
        <v>0</v>
      </c>
      <c r="Q14" s="1569" t="s">
        <v>145</v>
      </c>
      <c r="R14" s="1572"/>
      <c r="S14" s="270"/>
    </row>
    <row r="15" spans="1:19" ht="16.5" customHeight="1">
      <c r="A15" s="325">
        <f t="shared" si="0"/>
        <v>5</v>
      </c>
      <c r="C15" s="1564"/>
      <c r="D15" s="746" t="s">
        <v>282</v>
      </c>
      <c r="E15" s="746" t="s">
        <v>281</v>
      </c>
      <c r="F15" s="747" t="s">
        <v>367</v>
      </c>
      <c r="G15" s="747"/>
      <c r="H15" s="1560"/>
      <c r="I15" s="1571"/>
      <c r="J15" s="748"/>
      <c r="K15" s="749"/>
      <c r="L15" s="749"/>
      <c r="M15" s="749"/>
      <c r="N15" s="750"/>
      <c r="O15" s="1564"/>
      <c r="P15" s="1575">
        <f>+D16</f>
        <v>0</v>
      </c>
      <c r="Q15" s="1576" t="s">
        <v>437</v>
      </c>
      <c r="R15" s="1572"/>
      <c r="S15" s="270"/>
    </row>
    <row r="16" spans="1:19">
      <c r="A16" s="325">
        <f t="shared" si="0"/>
        <v>6</v>
      </c>
      <c r="C16" s="1577" t="s">
        <v>370</v>
      </c>
      <c r="D16" s="1578">
        <f>'SWT TCOS'!G235</f>
        <v>0</v>
      </c>
      <c r="E16" s="1579">
        <f>+'SWT TCOS'!J235</f>
        <v>0</v>
      </c>
      <c r="F16" s="1580">
        <f>E16*D16</f>
        <v>0</v>
      </c>
      <c r="G16" s="1581"/>
      <c r="H16" s="1560"/>
      <c r="I16" s="1571"/>
      <c r="J16" s="1582"/>
      <c r="K16" s="1583"/>
      <c r="L16" s="1583"/>
      <c r="M16" s="1583"/>
      <c r="N16" s="1584"/>
      <c r="O16" s="1585"/>
      <c r="P16" s="1575">
        <f>+E16</f>
        <v>0</v>
      </c>
      <c r="Q16" s="1576" t="s">
        <v>438</v>
      </c>
      <c r="R16" s="1572"/>
      <c r="S16" s="270"/>
    </row>
    <row r="17" spans="1:19">
      <c r="A17" s="325">
        <f t="shared" si="0"/>
        <v>7</v>
      </c>
      <c r="C17" s="1577" t="s">
        <v>371</v>
      </c>
      <c r="D17" s="1578">
        <f>'SWT TCOS'!G236</f>
        <v>0</v>
      </c>
      <c r="E17" s="1579">
        <f>+'SWT TCOS'!J236</f>
        <v>0</v>
      </c>
      <c r="F17" s="1580">
        <f>E17*D17</f>
        <v>0</v>
      </c>
      <c r="G17" s="1581"/>
      <c r="H17" s="1586"/>
      <c r="I17" s="1586"/>
      <c r="J17" s="1587"/>
      <c r="K17" s="7"/>
      <c r="L17" s="1564" t="s">
        <v>368</v>
      </c>
      <c r="M17" s="1564" t="s">
        <v>429</v>
      </c>
      <c r="N17" s="1588" t="s">
        <v>369</v>
      </c>
      <c r="O17" s="1589"/>
      <c r="P17" s="1575">
        <f>+D17</f>
        <v>0</v>
      </c>
      <c r="Q17" s="1576" t="s">
        <v>439</v>
      </c>
      <c r="R17" s="1572"/>
      <c r="S17" s="270"/>
    </row>
    <row r="18" spans="1:19">
      <c r="A18" s="325">
        <f t="shared" si="0"/>
        <v>8</v>
      </c>
      <c r="C18" s="1577" t="s">
        <v>363</v>
      </c>
      <c r="D18" s="1578">
        <f>'SWT TCOS'!G237</f>
        <v>0</v>
      </c>
      <c r="E18" s="1579">
        <f>+F13</f>
        <v>0.105</v>
      </c>
      <c r="F18" s="767">
        <f>E18*D18</f>
        <v>0</v>
      </c>
      <c r="G18" s="768"/>
      <c r="H18" s="1586"/>
      <c r="I18" s="1586"/>
      <c r="J18" s="1590"/>
      <c r="K18" s="270"/>
      <c r="L18" s="270"/>
      <c r="M18" s="270"/>
      <c r="N18" s="1569"/>
      <c r="O18" s="1589"/>
      <c r="P18" s="1575">
        <f>+E17</f>
        <v>0</v>
      </c>
      <c r="Q18" s="1576" t="s">
        <v>440</v>
      </c>
      <c r="R18" s="1572"/>
      <c r="S18" s="270"/>
    </row>
    <row r="19" spans="1:19" ht="13.5" thickBot="1">
      <c r="A19" s="325">
        <f t="shared" si="0"/>
        <v>9</v>
      </c>
      <c r="C19" s="27"/>
      <c r="D19" s="1560"/>
      <c r="E19" s="1591" t="s">
        <v>372</v>
      </c>
      <c r="F19" s="1580">
        <f>SUM(F16:F18)</f>
        <v>0</v>
      </c>
      <c r="G19" s="1581"/>
      <c r="H19" s="1592"/>
      <c r="I19" s="1586"/>
      <c r="J19" s="1593" t="s">
        <v>425</v>
      </c>
      <c r="K19" s="1594">
        <f>+'SWT TCOS'!$N$2</f>
        <v>2022</v>
      </c>
      <c r="L19" s="1595">
        <f>+P44</f>
        <v>0</v>
      </c>
      <c r="M19" s="1595">
        <f>+P45</f>
        <v>0</v>
      </c>
      <c r="N19" s="1596">
        <f>+P46</f>
        <v>0</v>
      </c>
      <c r="O19" s="1589"/>
      <c r="P19" s="1575">
        <f>+D18</f>
        <v>0</v>
      </c>
      <c r="Q19" s="1597" t="s">
        <v>441</v>
      </c>
      <c r="R19" s="1572"/>
      <c r="S19" s="270"/>
    </row>
    <row r="20" spans="1:19">
      <c r="A20" s="325"/>
      <c r="D20" s="1598"/>
      <c r="E20" s="1598"/>
      <c r="F20" s="1586"/>
      <c r="G20" s="1586"/>
      <c r="H20" s="1586"/>
      <c r="I20" s="1586"/>
      <c r="J20" s="778"/>
      <c r="K20" s="778"/>
      <c r="L20" s="778"/>
      <c r="M20" s="778"/>
      <c r="N20" s="778"/>
      <c r="O20" s="1599"/>
      <c r="P20" s="1600">
        <f>+E23</f>
        <v>668345.4213007692</v>
      </c>
      <c r="Q20" s="1601" t="str">
        <f>+C23</f>
        <v xml:space="preserve">   Rate Base  (TCOS, ln 63)</v>
      </c>
      <c r="R20" s="734"/>
      <c r="S20" s="270"/>
    </row>
    <row r="21" spans="1:19" ht="15.75">
      <c r="A21" s="325"/>
      <c r="C21" s="725" t="str">
        <f>"B.   Determine Return using 'R' with hypothetical "&amp;F12&amp;" basis point ROE increase for Identified Projects."</f>
        <v>B.   Determine Return using 'R' with hypothetical 0 basis point ROE increase for Identified Projects.</v>
      </c>
      <c r="D21" s="1598"/>
      <c r="E21" s="1598"/>
      <c r="F21" s="1586"/>
      <c r="G21" s="1586"/>
      <c r="H21" s="1586"/>
      <c r="I21" s="1560"/>
      <c r="J21" s="782"/>
      <c r="K21" s="778"/>
      <c r="L21" s="778"/>
      <c r="M21" s="778"/>
      <c r="N21" s="778"/>
      <c r="O21" s="1599"/>
      <c r="P21" s="1602">
        <f>+F30</f>
        <v>0.26924999999999988</v>
      </c>
      <c r="Q21" s="1569" t="str">
        <f>+C30</f>
        <v xml:space="preserve">   Tax Rate  (TCOS, ln 99)</v>
      </c>
      <c r="R21" s="1572"/>
      <c r="S21" s="270"/>
    </row>
    <row r="22" spans="1:19">
      <c r="A22" s="325"/>
      <c r="C22" s="1564"/>
      <c r="D22" s="1598"/>
      <c r="E22" s="1598"/>
      <c r="F22" s="1599"/>
      <c r="G22" s="1599"/>
      <c r="H22" s="1599"/>
      <c r="I22" s="1599"/>
      <c r="J22" s="778"/>
      <c r="K22" s="778"/>
      <c r="L22" s="778"/>
      <c r="M22" s="778"/>
      <c r="N22" s="778"/>
      <c r="O22" s="1599"/>
      <c r="P22" s="1603">
        <f>+F33</f>
        <v>0</v>
      </c>
      <c r="Q22" s="1569" t="str">
        <f>+C33</f>
        <v xml:space="preserve">   ITC Adjustment  (TCOS, ln 108)</v>
      </c>
      <c r="R22" s="1572"/>
      <c r="S22" s="270"/>
    </row>
    <row r="23" spans="1:19">
      <c r="A23" s="325">
        <f>+A19+1</f>
        <v>10</v>
      </c>
      <c r="C23" s="27" t="str">
        <f>"   Rate Base  (TCOS, ln "&amp;'SWT TCOS'!B113&amp;")"</f>
        <v xml:space="preserve">   Rate Base  (TCOS, ln 63)</v>
      </c>
      <c r="D23" s="1560"/>
      <c r="E23" s="1604">
        <f>+'SWT TCOS'!L113</f>
        <v>668345.4213007692</v>
      </c>
      <c r="F23" s="1605"/>
      <c r="G23" s="1605"/>
      <c r="H23" s="1599"/>
      <c r="I23" s="1599"/>
      <c r="J23" s="778"/>
      <c r="K23" s="778"/>
      <c r="L23" s="778"/>
      <c r="M23" s="778"/>
      <c r="N23" s="778"/>
      <c r="O23" s="1599"/>
      <c r="P23" s="1603">
        <f>+F34</f>
        <v>2548.1518987341769</v>
      </c>
      <c r="Q23" s="1569" t="str">
        <f>+C34</f>
        <v xml:space="preserve">   Excess DFIT Adjustment  (TCOS, ln 109)</v>
      </c>
      <c r="R23" s="1572"/>
      <c r="S23" s="270"/>
    </row>
    <row r="24" spans="1:19">
      <c r="A24" s="325">
        <f t="shared" si="0"/>
        <v>11</v>
      </c>
      <c r="C24" s="1564" t="s">
        <v>341</v>
      </c>
      <c r="D24" s="1562"/>
      <c r="E24" s="1606">
        <f>F19</f>
        <v>0</v>
      </c>
      <c r="F24" s="1599"/>
      <c r="G24" s="1599"/>
      <c r="H24" s="1599"/>
      <c r="I24" s="1599"/>
      <c r="J24" s="778"/>
      <c r="K24" s="778"/>
      <c r="L24" s="778"/>
      <c r="M24" s="778"/>
      <c r="N24" s="778"/>
      <c r="O24" s="1599"/>
      <c r="P24" s="1603">
        <f>+F35</f>
        <v>0</v>
      </c>
      <c r="Q24" s="1569" t="str">
        <f>+C35</f>
        <v xml:space="preserve">   Tax Effect of Permanent and Flow Through Differences  (TCOS, ln 110)</v>
      </c>
      <c r="R24" s="1572"/>
      <c r="S24" s="270"/>
    </row>
    <row r="25" spans="1:19" ht="15">
      <c r="A25" s="325">
        <f t="shared" si="0"/>
        <v>12</v>
      </c>
      <c r="C25" s="1607" t="s">
        <v>373</v>
      </c>
      <c r="D25" s="1607"/>
      <c r="E25" s="1608">
        <f>E23*E24</f>
        <v>0</v>
      </c>
      <c r="F25" s="1599"/>
      <c r="G25" s="1599"/>
      <c r="H25" s="1599"/>
      <c r="I25" s="1599"/>
      <c r="J25" s="350"/>
      <c r="K25" s="350"/>
      <c r="L25" s="350"/>
      <c r="M25" s="350"/>
      <c r="N25" s="286"/>
      <c r="O25" s="1589"/>
      <c r="P25" s="1603">
        <f>+F42</f>
        <v>156951.63069833507</v>
      </c>
      <c r="Q25" s="1569" t="str">
        <f>+C42</f>
        <v xml:space="preserve">   Net Revenue Requirement  (TCOS, ln 117)</v>
      </c>
      <c r="R25" s="1572"/>
      <c r="S25" s="270"/>
    </row>
    <row r="26" spans="1:19" ht="20.25">
      <c r="A26" s="325"/>
      <c r="C26" s="1607"/>
      <c r="D26" s="1571"/>
      <c r="E26" s="1571"/>
      <c r="F26" s="1599"/>
      <c r="G26" s="1599"/>
      <c r="H26" s="1599"/>
      <c r="I26" s="1599"/>
      <c r="J26" s="790" t="s">
        <v>125</v>
      </c>
      <c r="K26" s="791" t="s">
        <v>435</v>
      </c>
      <c r="L26" s="792"/>
      <c r="M26" s="792"/>
      <c r="N26" s="793"/>
      <c r="O26" s="1589"/>
      <c r="P26" s="1603">
        <f>+F43</f>
        <v>47821.647726348943</v>
      </c>
      <c r="Q26" s="1569" t="str">
        <f>+C43</f>
        <v xml:space="preserve">   Return  (TCOS, ln 112)</v>
      </c>
      <c r="R26" s="1572"/>
      <c r="S26" s="270"/>
    </row>
    <row r="27" spans="1:19" ht="18">
      <c r="A27" s="325"/>
      <c r="C27" s="725" t="str">
        <f>"C.   Determine Income Taxes using Return with hypothetical "&amp;F12&amp;" basis point ROE increase for Identified Projects."</f>
        <v>C.   Determine Income Taxes using Return with hypothetical 0 basis point ROE increase for Identified Projects.</v>
      </c>
      <c r="D27" s="1609"/>
      <c r="E27" s="1609"/>
      <c r="F27" s="1610"/>
      <c r="G27" s="1610"/>
      <c r="H27" s="1610"/>
      <c r="I27" s="1610"/>
      <c r="J27" s="1589"/>
      <c r="K27" s="796" t="s">
        <v>424</v>
      </c>
      <c r="L27" s="797"/>
      <c r="M27" s="797"/>
      <c r="N27" s="793"/>
      <c r="O27" s="1611"/>
      <c r="P27" s="1603">
        <f>+F44</f>
        <v>15767.063971986132</v>
      </c>
      <c r="Q27" s="1569" t="str">
        <f>+C44</f>
        <v xml:space="preserve">   Income Taxes  (TCOS, ln 111)</v>
      </c>
      <c r="R27" s="1572"/>
      <c r="S27" s="270"/>
    </row>
    <row r="28" spans="1:19" ht="14.25" customHeight="1">
      <c r="A28" s="325"/>
      <c r="C28" s="27"/>
      <c r="D28" s="1571"/>
      <c r="E28" s="1571"/>
      <c r="F28" s="1599"/>
      <c r="G28" s="1599"/>
      <c r="H28" s="1599"/>
      <c r="I28" s="1599"/>
      <c r="O28" s="1589"/>
      <c r="P28" s="1603">
        <f>+F45</f>
        <v>0</v>
      </c>
      <c r="Q28" s="1569" t="str">
        <f>C45</f>
        <v xml:space="preserve">  Gross Margin Taxes  (TCOS, ln 116)</v>
      </c>
      <c r="R28" s="1572"/>
      <c r="S28" s="734"/>
    </row>
    <row r="29" spans="1:19" ht="19.5" customHeight="1">
      <c r="A29" s="325">
        <f>+A25+1</f>
        <v>13</v>
      </c>
      <c r="C29" s="1564" t="s">
        <v>374</v>
      </c>
      <c r="D29" s="1591"/>
      <c r="F29" s="1612">
        <f>E25</f>
        <v>0</v>
      </c>
      <c r="G29" s="1599"/>
      <c r="H29" s="1599"/>
      <c r="I29" s="1599"/>
      <c r="O29" s="1599"/>
      <c r="P29" s="1603">
        <f>+F55</f>
        <v>0</v>
      </c>
      <c r="Q29" s="1569" t="str">
        <f>+C55</f>
        <v xml:space="preserve">   Less: Depreciation  (TCOS, ln 86)</v>
      </c>
      <c r="R29" s="1572"/>
      <c r="S29" s="270"/>
    </row>
    <row r="30" spans="1:19">
      <c r="A30" s="325">
        <f t="shared" si="0"/>
        <v>14</v>
      </c>
      <c r="C30" s="27" t="str">
        <f>"   Tax Rate  (TCOS, ln "&amp;'SWT TCOS'!B168&amp;")"</f>
        <v xml:space="preserve">   Tax Rate  (TCOS, ln 99)</v>
      </c>
      <c r="D30" s="1591"/>
      <c r="F30" s="1613">
        <f>+'SWT TCOS'!G168</f>
        <v>0.26924999999999988</v>
      </c>
      <c r="G30" s="1599"/>
      <c r="H30" s="1599"/>
      <c r="I30" s="1599"/>
      <c r="O30" s="1599"/>
      <c r="P30" s="1602">
        <f>+F61</f>
        <v>0</v>
      </c>
      <c r="Q30" s="1569" t="str">
        <f>+C61</f>
        <v xml:space="preserve">       Apportionment Factor to Texas (Worksheet K, ln 12)</v>
      </c>
      <c r="R30" s="1572"/>
      <c r="S30" s="270"/>
    </row>
    <row r="31" spans="1:19">
      <c r="A31" s="325">
        <f t="shared" si="0"/>
        <v>15</v>
      </c>
      <c r="C31" s="1564" t="s">
        <v>196</v>
      </c>
      <c r="F31" s="1570">
        <f>IF(F16&gt;0,($F30/(1-$F30))*(1-$F16/$F19),0)</f>
        <v>0</v>
      </c>
      <c r="P31" s="1603">
        <f>+F71</f>
        <v>7.6923076923076925E-7</v>
      </c>
      <c r="Q31" s="1569" t="str">
        <f>+C71</f>
        <v xml:space="preserve">   Net Transmission Plant  (TCOS, ln 37)</v>
      </c>
      <c r="R31" s="1572"/>
      <c r="S31" s="270"/>
    </row>
    <row r="32" spans="1:19">
      <c r="A32" s="325">
        <f t="shared" si="0"/>
        <v>16</v>
      </c>
      <c r="C32" s="1607" t="s">
        <v>197</v>
      </c>
      <c r="F32" s="1614">
        <f>F29*F31</f>
        <v>0</v>
      </c>
      <c r="P32" s="1615">
        <f>+F77</f>
        <v>204037119907.83557</v>
      </c>
      <c r="Q32" s="1616" t="str">
        <f>+C77</f>
        <v xml:space="preserve">   FCR less Depreciation  (TCOS, ln 10)</v>
      </c>
      <c r="R32" s="1572"/>
      <c r="S32" s="1617"/>
    </row>
    <row r="33" spans="1:19" ht="15">
      <c r="A33" s="325">
        <f t="shared" si="0"/>
        <v>17</v>
      </c>
      <c r="C33" s="27" t="str">
        <f>"   ITC Adjustment  (TCOS, ln "&amp;'SWT TCOS'!B178&amp;")"</f>
        <v xml:space="preserve">   ITC Adjustment  (TCOS, ln 108)</v>
      </c>
      <c r="D33" s="350"/>
      <c r="F33" s="1599">
        <f>+'SWT TCOS'!L178</f>
        <v>0</v>
      </c>
      <c r="G33" s="350"/>
      <c r="H33" s="350"/>
      <c r="I33" s="350"/>
      <c r="O33" s="350"/>
      <c r="P33" s="1615">
        <f>+F81</f>
        <v>7.6923076923076925E-7</v>
      </c>
      <c r="Q33" s="1616" t="str">
        <f>+C81</f>
        <v>Transmission Plant Average Balance for 2022 (WS A-1 Ln 14 Col (d))</v>
      </c>
      <c r="R33" s="1572"/>
      <c r="S33" s="734"/>
    </row>
    <row r="34" spans="1:19" ht="15">
      <c r="A34" s="325">
        <f t="shared" si="0"/>
        <v>18</v>
      </c>
      <c r="C34" s="27" t="str">
        <f>"   Excess DFIT Adjustment  (TCOS, ln "&amp;'SWT TCOS'!B179&amp;")"</f>
        <v xml:space="preserve">   Excess DFIT Adjustment  (TCOS, ln 109)</v>
      </c>
      <c r="D34" s="350"/>
      <c r="F34" s="1599">
        <f>+'SWT TCOS'!L179</f>
        <v>2548.1518987341769</v>
      </c>
      <c r="G34" s="350"/>
      <c r="H34" s="350"/>
      <c r="I34" s="350"/>
      <c r="O34" s="350"/>
      <c r="P34" s="1555">
        <f>+F82</f>
        <v>0</v>
      </c>
      <c r="Q34" s="1618" t="str">
        <f>+C82</f>
        <v>Annual Depreciation Expense  (TCOS, ln 86)</v>
      </c>
      <c r="R34" s="1572"/>
      <c r="S34" s="734"/>
    </row>
    <row r="35" spans="1:19" ht="15">
      <c r="A35" s="325">
        <f t="shared" si="0"/>
        <v>19</v>
      </c>
      <c r="C35" s="27" t="str">
        <f>"   Tax Effect of Permanent and Flow Through Differences  (TCOS, ln "&amp;'SWT TCOS'!B180&amp;")"</f>
        <v xml:space="preserve">   Tax Effect of Permanent and Flow Through Differences  (TCOS, ln 110)</v>
      </c>
      <c r="D35" s="350"/>
      <c r="F35" s="1599">
        <f>+'SWT TCOS'!L180</f>
        <v>0</v>
      </c>
      <c r="G35" s="350"/>
      <c r="H35" s="350"/>
      <c r="I35" s="350"/>
      <c r="O35" s="350"/>
      <c r="P35" s="276"/>
      <c r="R35" s="1572"/>
      <c r="S35" s="734"/>
    </row>
    <row r="36" spans="1:19" ht="15">
      <c r="A36" s="325">
        <f t="shared" si="0"/>
        <v>20</v>
      </c>
      <c r="C36" s="1607" t="s">
        <v>375</v>
      </c>
      <c r="D36" s="350"/>
      <c r="F36" s="1619">
        <f>+SUM(F32:F35)</f>
        <v>2548.1518987341769</v>
      </c>
      <c r="G36" s="350"/>
      <c r="H36" s="350"/>
      <c r="I36" s="350"/>
      <c r="O36" s="350"/>
      <c r="P36" s="276"/>
    </row>
    <row r="37" spans="1:19" ht="12.75" customHeight="1">
      <c r="A37" s="325"/>
      <c r="C37" s="314"/>
      <c r="D37" s="350"/>
      <c r="E37" s="350"/>
      <c r="F37" s="350"/>
      <c r="G37" s="350"/>
      <c r="H37" s="350"/>
      <c r="I37" s="350"/>
      <c r="O37" s="350"/>
      <c r="P37" s="572" t="s">
        <v>164</v>
      </c>
      <c r="Q37" s="720" t="s">
        <v>433</v>
      </c>
    </row>
    <row r="38" spans="1:19" ht="18.75">
      <c r="A38" s="325"/>
      <c r="B38" s="723" t="s">
        <v>308</v>
      </c>
      <c r="C38" s="721" t="str">
        <f>"Calculate Net Plant Carrying Charge Rate (Fixed Charge Rate or FCR) with hypothetical "&amp;F12&amp;" basis point"</f>
        <v>Calculate Net Plant Carrying Charge Rate (Fixed Charge Rate or FCR) with hypothetical 0 basis point</v>
      </c>
      <c r="D38" s="350"/>
      <c r="E38" s="350"/>
      <c r="F38" s="350"/>
      <c r="G38" s="350"/>
      <c r="H38" s="350"/>
      <c r="I38" s="350"/>
      <c r="O38" s="350"/>
      <c r="P38" s="276"/>
    </row>
    <row r="39" spans="1:19" ht="18.75" customHeight="1">
      <c r="A39" s="325"/>
      <c r="B39" s="723"/>
      <c r="C39" s="721" t="str">
        <f>"ROE increase."</f>
        <v>ROE increase.</v>
      </c>
      <c r="D39" s="350"/>
      <c r="E39" s="350"/>
      <c r="F39" s="350"/>
      <c r="G39" s="350"/>
      <c r="H39" s="350"/>
      <c r="I39" s="350"/>
      <c r="O39" s="350"/>
      <c r="P39" s="276"/>
    </row>
    <row r="40" spans="1:19" ht="12.75" customHeight="1">
      <c r="A40" s="325"/>
      <c r="C40" s="314"/>
      <c r="D40" s="350"/>
      <c r="E40" s="350"/>
      <c r="F40" s="350"/>
      <c r="G40" s="350"/>
      <c r="H40" s="350"/>
      <c r="I40" s="350"/>
      <c r="O40" s="350"/>
      <c r="P40" s="720" t="s">
        <v>165</v>
      </c>
      <c r="Q40" s="720" t="s">
        <v>433</v>
      </c>
    </row>
    <row r="41" spans="1:19" ht="15.75">
      <c r="A41" s="325"/>
      <c r="C41" s="725" t="s">
        <v>146</v>
      </c>
      <c r="D41" s="350"/>
      <c r="E41" s="350"/>
      <c r="F41" s="83"/>
      <c r="G41" s="83"/>
      <c r="H41" s="350"/>
      <c r="I41" s="350"/>
      <c r="O41" s="350"/>
      <c r="P41" s="720"/>
      <c r="Q41" s="572"/>
    </row>
    <row r="42" spans="1:19" ht="12.75" customHeight="1">
      <c r="A42" s="325">
        <f>+A36+1</f>
        <v>21</v>
      </c>
      <c r="C42" s="27" t="str">
        <f>"   Net Revenue Requirement  (TCOS, ln "&amp;'SWT TCOS'!B193&amp;")"</f>
        <v xml:space="preserve">   Net Revenue Requirement  (TCOS, ln 117)</v>
      </c>
      <c r="D42" s="1620"/>
      <c r="E42" s="1620"/>
      <c r="F42" s="1599">
        <f>+'SWT TCOS'!L193</f>
        <v>156951.63069833507</v>
      </c>
      <c r="G42" s="1599"/>
      <c r="H42" s="1620"/>
      <c r="I42" s="1620"/>
      <c r="J42" s="1620"/>
      <c r="K42" s="1620"/>
      <c r="L42" s="1620"/>
      <c r="M42" s="1620"/>
      <c r="N42" s="1599"/>
      <c r="O42" s="1620"/>
      <c r="P42" s="1621" t="s">
        <v>161</v>
      </c>
      <c r="Q42" s="1622" t="s">
        <v>162</v>
      </c>
    </row>
    <row r="43" spans="1:19" ht="13.5" thickBot="1">
      <c r="A43" s="325">
        <f t="shared" si="0"/>
        <v>22</v>
      </c>
      <c r="C43" s="27" t="str">
        <f>"   Return  (TCOS, ln "&amp;'SWT TCOS'!B184&amp;")"</f>
        <v xml:space="preserve">   Return  (TCOS, ln 112)</v>
      </c>
      <c r="D43" s="1620"/>
      <c r="E43" s="1620"/>
      <c r="F43" s="1589">
        <f>+'SWT TCOS'!L184</f>
        <v>47821.647726348943</v>
      </c>
      <c r="G43" s="1589"/>
      <c r="H43" s="1623"/>
      <c r="I43" s="1623"/>
      <c r="J43" s="1623"/>
      <c r="K43" s="1623"/>
      <c r="L43" s="1623"/>
      <c r="M43" s="1623"/>
      <c r="N43" s="1599"/>
      <c r="O43" s="1623"/>
      <c r="P43" s="1624" t="s">
        <v>69</v>
      </c>
      <c r="Q43" s="1625"/>
    </row>
    <row r="44" spans="1:19">
      <c r="A44" s="325">
        <f t="shared" si="0"/>
        <v>23</v>
      </c>
      <c r="C44" s="27" t="str">
        <f>"   Income Taxes  (TCOS, ln "&amp;'SWT TCOS'!B182&amp;")"</f>
        <v xml:space="preserve">   Income Taxes  (TCOS, ln 111)</v>
      </c>
      <c r="D44" s="1620"/>
      <c r="E44" s="1620"/>
      <c r="F44" s="1599">
        <f>+'SWT TCOS'!L182</f>
        <v>15767.063971986132</v>
      </c>
      <c r="G44" s="1599"/>
      <c r="H44" s="1620"/>
      <c r="I44" s="1620"/>
      <c r="J44" s="1626"/>
      <c r="K44" s="1626"/>
      <c r="L44" s="1626"/>
      <c r="M44" s="1626"/>
      <c r="N44" s="1620"/>
      <c r="O44" s="1626"/>
      <c r="P44" s="815"/>
      <c r="Q44" s="1625" t="s">
        <v>158</v>
      </c>
    </row>
    <row r="45" spans="1:19">
      <c r="A45" s="325">
        <f t="shared" si="0"/>
        <v>24</v>
      </c>
      <c r="C45" s="27" t="str">
        <f>"  Gross Margin Taxes  (TCOS, ln "&amp;'SWT TCOS'!B191&amp;")"</f>
        <v xml:space="preserve">  Gross Margin Taxes  (TCOS, ln 116)</v>
      </c>
      <c r="D45" s="1620"/>
      <c r="E45" s="1620"/>
      <c r="F45" s="1627">
        <f>+'SWT TCOS'!L191</f>
        <v>0</v>
      </c>
      <c r="G45" s="1599"/>
      <c r="H45" s="1620"/>
      <c r="I45" s="1620"/>
      <c r="J45" s="1626"/>
      <c r="K45" s="1626"/>
      <c r="L45" s="1626"/>
      <c r="M45" s="1626"/>
      <c r="N45" s="1620"/>
      <c r="O45" s="1626"/>
      <c r="P45" s="817"/>
      <c r="Q45" s="1625" t="s">
        <v>159</v>
      </c>
    </row>
    <row r="46" spans="1:19" ht="13.5" thickBot="1">
      <c r="A46" s="325">
        <f t="shared" si="0"/>
        <v>25</v>
      </c>
      <c r="C46" s="270" t="s">
        <v>23</v>
      </c>
      <c r="D46" s="1620"/>
      <c r="E46" s="1620"/>
      <c r="F46" s="1589">
        <f>F42-F43-F44-F45</f>
        <v>93362.91899999998</v>
      </c>
      <c r="G46" s="1589"/>
      <c r="H46" s="7"/>
      <c r="I46" s="1620"/>
      <c r="J46" s="7"/>
      <c r="K46" s="7"/>
      <c r="L46" s="7"/>
      <c r="M46" s="7"/>
      <c r="N46" s="7"/>
      <c r="O46" s="7"/>
      <c r="P46" s="818"/>
      <c r="Q46" s="1625" t="s">
        <v>160</v>
      </c>
    </row>
    <row r="47" spans="1:19" s="270" customFormat="1">
      <c r="A47" s="325"/>
      <c r="B47" s="276"/>
      <c r="C47" s="27"/>
      <c r="D47" s="1620"/>
      <c r="E47" s="1620"/>
      <c r="F47" s="1599"/>
      <c r="G47" s="1599"/>
      <c r="H47" s="1628"/>
      <c r="I47" s="1629"/>
      <c r="J47" s="1629"/>
      <c r="K47" s="1629"/>
      <c r="L47" s="1629"/>
      <c r="M47" s="1629"/>
      <c r="N47" s="1629"/>
      <c r="O47" s="1629"/>
      <c r="Q47" s="276"/>
      <c r="R47" s="276"/>
      <c r="S47" s="276"/>
    </row>
    <row r="48" spans="1:19" s="270" customFormat="1" ht="15.75">
      <c r="A48" s="325"/>
      <c r="B48" s="276"/>
      <c r="C48" s="725" t="str">
        <f>"B.   Determine Net Revenue Requirement with hypothetical "&amp;F12&amp;" basis point increase in ROE."</f>
        <v>B.   Determine Net Revenue Requirement with hypothetical 0 basis point increase in ROE.</v>
      </c>
      <c r="D48" s="1564"/>
      <c r="E48" s="1564"/>
      <c r="F48" s="1599"/>
      <c r="G48" s="1599"/>
      <c r="H48" s="1628"/>
      <c r="I48" s="1629"/>
      <c r="J48" s="1629"/>
      <c r="K48" s="1629"/>
      <c r="L48" s="1629"/>
      <c r="M48" s="1629"/>
      <c r="N48" s="1629"/>
      <c r="O48" s="1629"/>
      <c r="R48" s="276"/>
      <c r="S48" s="276"/>
    </row>
    <row r="49" spans="1:19" s="270" customFormat="1">
      <c r="A49" s="325">
        <f>+A46+1</f>
        <v>26</v>
      </c>
      <c r="B49" s="276"/>
      <c r="C49" s="27" t="str">
        <f>C46</f>
        <v xml:space="preserve">   Net Revenue Requirement, Less Return and Taxes</v>
      </c>
      <c r="D49" s="1564"/>
      <c r="E49" s="1564"/>
      <c r="F49" s="1599">
        <f>F46</f>
        <v>93362.91899999998</v>
      </c>
      <c r="G49" s="1599"/>
      <c r="H49" s="1620"/>
      <c r="I49" s="1620"/>
      <c r="J49" s="1620"/>
      <c r="K49" s="1620"/>
      <c r="L49" s="1620"/>
      <c r="M49" s="1620"/>
      <c r="N49" s="821"/>
      <c r="O49" s="1620"/>
      <c r="R49" s="276"/>
      <c r="S49" s="276"/>
    </row>
    <row r="50" spans="1:19" s="270" customFormat="1">
      <c r="A50" s="325">
        <f t="shared" si="0"/>
        <v>27</v>
      </c>
      <c r="B50" s="276"/>
      <c r="C50" s="1564" t="s">
        <v>383</v>
      </c>
      <c r="D50" s="1630"/>
      <c r="F50" s="1631">
        <f>E25</f>
        <v>0</v>
      </c>
      <c r="G50" s="1631"/>
      <c r="I50" s="1382"/>
      <c r="Q50" s="276"/>
      <c r="R50" s="276"/>
      <c r="S50" s="276"/>
    </row>
    <row r="51" spans="1:19" s="270" customFormat="1" ht="12.75" customHeight="1">
      <c r="A51" s="325">
        <f t="shared" si="0"/>
        <v>28</v>
      </c>
      <c r="B51" s="276"/>
      <c r="C51" s="27" t="s">
        <v>376</v>
      </c>
      <c r="D51" s="1620"/>
      <c r="E51" s="1620"/>
      <c r="F51" s="824">
        <f>F36</f>
        <v>2548.1518987341769</v>
      </c>
      <c r="G51" s="825"/>
      <c r="H51" s="276"/>
      <c r="I51" s="1350"/>
      <c r="J51" s="276"/>
      <c r="K51" s="276"/>
      <c r="L51" s="276"/>
      <c r="M51" s="276"/>
      <c r="N51" s="276"/>
      <c r="Q51" s="276"/>
      <c r="R51" s="276"/>
      <c r="S51" s="276"/>
    </row>
    <row r="52" spans="1:19" s="270" customFormat="1">
      <c r="A52" s="325">
        <f t="shared" si="0"/>
        <v>29</v>
      </c>
      <c r="B52" s="276"/>
      <c r="C52" s="270" t="str">
        <f>"   Net Revenue Requirement, with "&amp;F12&amp;" Basis Point ROE increase"</f>
        <v xml:space="preserve">   Net Revenue Requirement, with 0 Basis Point ROE increase</v>
      </c>
      <c r="D52" s="325"/>
      <c r="E52" s="276"/>
      <c r="F52" s="1614">
        <f>SUM(F49:F51)</f>
        <v>95911.07089873415</v>
      </c>
      <c r="G52" s="1614"/>
      <c r="H52" s="276"/>
      <c r="I52" s="1350"/>
      <c r="J52" s="276"/>
      <c r="K52" s="276"/>
      <c r="L52" s="276"/>
      <c r="M52" s="276"/>
      <c r="N52" s="276"/>
      <c r="Q52" s="276"/>
      <c r="R52" s="276"/>
      <c r="S52" s="276"/>
    </row>
    <row r="53" spans="1:19" s="270" customFormat="1">
      <c r="A53" s="325">
        <f t="shared" si="0"/>
        <v>30</v>
      </c>
      <c r="B53" s="276"/>
      <c r="C53" s="1617" t="str">
        <f>"   Gross Margin Tax with "&amp;F86&amp;" Basis Point ROE Increase (II C. below)"</f>
        <v xml:space="preserve">   Gross Margin Tax with  Basis Point ROE Increase (II C. below)</v>
      </c>
      <c r="D53" s="323"/>
      <c r="E53" s="323"/>
      <c r="F53" s="1632">
        <f>+F68</f>
        <v>0</v>
      </c>
      <c r="G53" s="1631"/>
      <c r="H53" s="276"/>
      <c r="I53" s="1350"/>
      <c r="J53" s="276"/>
      <c r="K53" s="276"/>
      <c r="L53" s="276"/>
      <c r="M53" s="276"/>
      <c r="N53" s="276"/>
      <c r="Q53" s="276"/>
      <c r="R53" s="276"/>
      <c r="S53" s="276"/>
    </row>
    <row r="54" spans="1:19" s="270" customFormat="1">
      <c r="A54" s="325">
        <f t="shared" si="0"/>
        <v>31</v>
      </c>
      <c r="B54" s="276"/>
      <c r="C54" s="270" t="s">
        <v>24</v>
      </c>
      <c r="D54" s="325"/>
      <c r="E54" s="276"/>
      <c r="F54" s="1631">
        <f>+F52+F53</f>
        <v>95911.07089873415</v>
      </c>
      <c r="G54" s="1631"/>
      <c r="H54" s="276"/>
      <c r="I54" s="1350"/>
      <c r="J54" s="276"/>
      <c r="K54" s="276"/>
      <c r="L54" s="276"/>
      <c r="M54" s="276"/>
      <c r="N54" s="276"/>
      <c r="Q54" s="276"/>
      <c r="R54" s="276"/>
      <c r="S54" s="276"/>
    </row>
    <row r="55" spans="1:19" s="270" customFormat="1">
      <c r="A55" s="325">
        <f t="shared" si="0"/>
        <v>32</v>
      </c>
      <c r="B55" s="276"/>
      <c r="C55" s="27" t="str">
        <f>"   Less: Depreciation  (TCOS, ln "&amp;'SWT TCOS'!B153&amp;")"</f>
        <v xml:space="preserve">   Less: Depreciation  (TCOS, ln 86)</v>
      </c>
      <c r="D55" s="325"/>
      <c r="E55" s="276"/>
      <c r="F55" s="827">
        <f>+'SWT TCOS'!L153</f>
        <v>0</v>
      </c>
      <c r="G55" s="827"/>
      <c r="H55" s="276"/>
      <c r="I55" s="1350"/>
      <c r="J55" s="276"/>
      <c r="K55" s="276"/>
      <c r="L55" s="276"/>
      <c r="M55" s="276"/>
      <c r="N55" s="276"/>
      <c r="Q55" s="276"/>
      <c r="R55" s="276"/>
      <c r="S55" s="276"/>
    </row>
    <row r="56" spans="1:19" s="270" customFormat="1">
      <c r="A56" s="325">
        <f t="shared" si="0"/>
        <v>33</v>
      </c>
      <c r="B56" s="276"/>
      <c r="C56" s="270" t="str">
        <f>"   Net Rev. Req, w/"&amp;F12&amp;" Basis Point ROE increase, less Depreciation"</f>
        <v xml:space="preserve">   Net Rev. Req, w/0 Basis Point ROE increase, less Depreciation</v>
      </c>
      <c r="D56" s="325"/>
      <c r="E56" s="276"/>
      <c r="F56" s="1614">
        <f>F54-F55</f>
        <v>95911.07089873415</v>
      </c>
      <c r="G56" s="1614"/>
      <c r="H56" s="276"/>
      <c r="I56" s="1350"/>
      <c r="J56" s="276"/>
      <c r="K56" s="276"/>
      <c r="L56" s="276"/>
      <c r="M56" s="276"/>
      <c r="N56" s="276"/>
      <c r="Q56" s="276"/>
      <c r="R56" s="276"/>
      <c r="S56" s="276"/>
    </row>
    <row r="57" spans="1:19" s="270" customFormat="1">
      <c r="A57" s="325"/>
      <c r="B57" s="276"/>
      <c r="C57" s="276"/>
      <c r="D57" s="325"/>
      <c r="E57" s="276"/>
      <c r="F57" s="276"/>
      <c r="G57" s="276"/>
      <c r="H57" s="276"/>
      <c r="I57" s="1350"/>
      <c r="J57" s="276"/>
      <c r="K57" s="276"/>
      <c r="L57" s="276"/>
      <c r="M57" s="276"/>
      <c r="N57" s="276"/>
      <c r="Q57" s="276"/>
      <c r="R57" s="276"/>
      <c r="S57" s="276"/>
    </row>
    <row r="58" spans="1:19" s="270" customFormat="1" ht="15.75">
      <c r="A58" s="325"/>
      <c r="B58" s="276"/>
      <c r="C58" s="725" t="str">
        <f>"C.   Determine Gross Margin Tax with hypothetical "&amp;F12&amp;" basis point increase in ROE."</f>
        <v>C.   Determine Gross Margin Tax with hypothetical 0 basis point increase in ROE.</v>
      </c>
      <c r="D58" s="323"/>
      <c r="E58" s="323"/>
      <c r="F58" s="1614"/>
      <c r="G58" s="1614"/>
      <c r="H58" s="276"/>
      <c r="I58" s="1350"/>
      <c r="J58" s="276"/>
      <c r="K58" s="276"/>
      <c r="L58" s="276"/>
      <c r="M58" s="276"/>
      <c r="N58" s="276"/>
      <c r="Q58" s="276"/>
      <c r="R58" s="276"/>
      <c r="S58" s="276"/>
    </row>
    <row r="59" spans="1:19" s="270" customFormat="1">
      <c r="A59" s="325">
        <f>+A56+1</f>
        <v>34</v>
      </c>
      <c r="B59" s="276"/>
      <c r="C59" s="1617" t="str">
        <f>"   Net Revenue Requirement before Gross Margin Taxes, with "&amp;F12&amp;" "</f>
        <v xml:space="preserve">   Net Revenue Requirement before Gross Margin Taxes, with 0 </v>
      </c>
      <c r="D59" s="323"/>
      <c r="E59" s="323"/>
      <c r="F59" s="1614">
        <f>+F52</f>
        <v>95911.07089873415</v>
      </c>
      <c r="G59" s="1614"/>
      <c r="H59" s="276"/>
      <c r="I59" s="1350"/>
      <c r="J59" s="276"/>
      <c r="K59" s="276"/>
      <c r="L59" s="276"/>
      <c r="M59" s="276"/>
      <c r="N59" s="276"/>
      <c r="Q59" s="276"/>
      <c r="R59" s="276"/>
      <c r="S59" s="276"/>
    </row>
    <row r="60" spans="1:19" s="270" customFormat="1">
      <c r="A60" s="325">
        <f t="shared" si="0"/>
        <v>35</v>
      </c>
      <c r="B60" s="276"/>
      <c r="C60" s="1617" t="s">
        <v>25</v>
      </c>
      <c r="D60" s="323"/>
      <c r="E60" s="323"/>
      <c r="F60" s="1614"/>
      <c r="G60" s="1614"/>
      <c r="H60" s="276"/>
      <c r="I60" s="1350"/>
      <c r="J60" s="276"/>
      <c r="K60" s="276"/>
      <c r="L60" s="276"/>
      <c r="M60" s="276"/>
      <c r="N60" s="276"/>
      <c r="Q60" s="276"/>
      <c r="R60" s="276"/>
      <c r="S60" s="276"/>
    </row>
    <row r="61" spans="1:19" s="270" customFormat="1">
      <c r="A61" s="325">
        <f t="shared" si="0"/>
        <v>36</v>
      </c>
      <c r="B61" s="276"/>
      <c r="C61" s="270" t="str">
        <f>"       Apportionment Factor to Texas (Worksheet K, ln "&amp;'SWT WS K State Taxes'!A53&amp;")"</f>
        <v xml:space="preserve">       Apportionment Factor to Texas (Worksheet K, ln 12)</v>
      </c>
      <c r="D61" s="325"/>
      <c r="E61" s="276"/>
      <c r="F61" s="1633">
        <f>+'SWT WS K State Taxes'!E53</f>
        <v>0</v>
      </c>
      <c r="G61" s="1613"/>
      <c r="H61" s="276"/>
      <c r="I61" s="1350"/>
      <c r="J61" s="276"/>
      <c r="K61" s="276"/>
      <c r="L61" s="276"/>
      <c r="M61" s="276"/>
      <c r="N61" s="276"/>
      <c r="Q61" s="276"/>
      <c r="R61" s="276"/>
      <c r="S61" s="276"/>
    </row>
    <row r="62" spans="1:19" s="1350" customFormat="1">
      <c r="A62" s="325">
        <f t="shared" si="0"/>
        <v>37</v>
      </c>
      <c r="B62" s="276"/>
      <c r="C62" s="270" t="s">
        <v>26</v>
      </c>
      <c r="D62" s="325"/>
      <c r="E62" s="276"/>
      <c r="F62" s="1614">
        <f>+F61*F59</f>
        <v>0</v>
      </c>
      <c r="G62" s="1614"/>
      <c r="H62" s="276"/>
      <c r="J62" s="276"/>
      <c r="K62" s="276"/>
      <c r="L62" s="276"/>
      <c r="M62" s="276"/>
      <c r="N62" s="276"/>
      <c r="O62" s="270"/>
      <c r="P62" s="270"/>
      <c r="Q62" s="276"/>
      <c r="R62" s="276"/>
      <c r="S62" s="276"/>
    </row>
    <row r="63" spans="1:19" s="1350" customFormat="1">
      <c r="A63" s="325">
        <f t="shared" si="0"/>
        <v>38</v>
      </c>
      <c r="B63" s="276"/>
      <c r="C63" s="270" t="s">
        <v>661</v>
      </c>
      <c r="D63" s="325"/>
      <c r="E63" s="276"/>
      <c r="F63" s="1634">
        <v>0.22</v>
      </c>
      <c r="G63" s="1635"/>
      <c r="H63" s="276"/>
      <c r="J63" s="276"/>
      <c r="K63" s="276"/>
      <c r="L63" s="276"/>
      <c r="M63" s="276"/>
      <c r="N63" s="276"/>
      <c r="O63" s="270"/>
      <c r="P63" s="270"/>
      <c r="Q63" s="276"/>
      <c r="R63" s="276"/>
      <c r="S63" s="276"/>
    </row>
    <row r="64" spans="1:19" s="1350" customFormat="1">
      <c r="A64" s="325">
        <f t="shared" si="0"/>
        <v>39</v>
      </c>
      <c r="B64" s="276"/>
      <c r="C64" s="270" t="s">
        <v>27</v>
      </c>
      <c r="D64" s="325"/>
      <c r="E64" s="276"/>
      <c r="F64" s="1614">
        <f>+F62*F63</f>
        <v>0</v>
      </c>
      <c r="G64" s="1614"/>
      <c r="H64" s="276"/>
      <c r="J64" s="276"/>
      <c r="K64" s="276"/>
      <c r="L64" s="276"/>
      <c r="M64" s="276"/>
      <c r="N64" s="276"/>
      <c r="O64" s="270"/>
      <c r="P64" s="270"/>
      <c r="Q64" s="276"/>
      <c r="R64" s="276"/>
      <c r="S64" s="276"/>
    </row>
    <row r="65" spans="1:19" s="1350" customFormat="1">
      <c r="A65" s="325">
        <f t="shared" si="0"/>
        <v>40</v>
      </c>
      <c r="B65" s="276"/>
      <c r="C65" s="270" t="s">
        <v>28</v>
      </c>
      <c r="D65" s="325"/>
      <c r="E65" s="276"/>
      <c r="F65" s="1634">
        <v>0.01</v>
      </c>
      <c r="G65" s="1635"/>
      <c r="H65" s="276"/>
      <c r="J65" s="276"/>
      <c r="K65" s="276"/>
      <c r="L65" s="276"/>
      <c r="M65" s="276"/>
      <c r="N65" s="276"/>
      <c r="O65" s="270"/>
      <c r="P65" s="270"/>
      <c r="Q65" s="276"/>
      <c r="R65" s="276"/>
      <c r="S65" s="276"/>
    </row>
    <row r="66" spans="1:19" s="1350" customFormat="1">
      <c r="A66" s="325">
        <f t="shared" si="0"/>
        <v>41</v>
      </c>
      <c r="B66" s="276"/>
      <c r="C66" s="270" t="s">
        <v>29</v>
      </c>
      <c r="D66" s="325"/>
      <c r="E66" s="276"/>
      <c r="F66" s="1614">
        <f>+F64*F65</f>
        <v>0</v>
      </c>
      <c r="G66" s="1614"/>
      <c r="H66" s="276"/>
      <c r="J66" s="276"/>
      <c r="K66" s="276"/>
      <c r="L66" s="276"/>
      <c r="M66" s="276"/>
      <c r="N66" s="276"/>
      <c r="O66" s="270"/>
      <c r="P66" s="270"/>
      <c r="Q66" s="276"/>
      <c r="R66" s="276"/>
      <c r="S66" s="276"/>
    </row>
    <row r="67" spans="1:19" s="1350" customFormat="1">
      <c r="A67" s="325">
        <f t="shared" si="0"/>
        <v>42</v>
      </c>
      <c r="B67" s="276"/>
      <c r="C67" s="270" t="s">
        <v>30</v>
      </c>
      <c r="D67" s="325"/>
      <c r="E67" s="276"/>
      <c r="F67" s="1636">
        <f>+ROUND((F66*F63*F61)/(1-F65)*F65,0)</f>
        <v>0</v>
      </c>
      <c r="G67" s="1532"/>
      <c r="H67" s="276"/>
      <c r="J67" s="276"/>
      <c r="K67" s="276"/>
      <c r="L67" s="276"/>
      <c r="M67" s="276"/>
      <c r="N67" s="276"/>
      <c r="O67" s="270"/>
      <c r="P67" s="270"/>
      <c r="Q67" s="276"/>
      <c r="R67" s="276"/>
      <c r="S67" s="276"/>
    </row>
    <row r="68" spans="1:19" s="1350" customFormat="1">
      <c r="A68" s="325">
        <f t="shared" si="0"/>
        <v>43</v>
      </c>
      <c r="B68" s="276"/>
      <c r="C68" s="270" t="s">
        <v>31</v>
      </c>
      <c r="D68" s="325"/>
      <c r="E68" s="276"/>
      <c r="F68" s="1614">
        <f>+F66+F67</f>
        <v>0</v>
      </c>
      <c r="G68" s="1614"/>
      <c r="H68" s="276"/>
      <c r="J68" s="276"/>
      <c r="K68" s="276"/>
      <c r="L68" s="276"/>
      <c r="M68" s="276"/>
      <c r="N68" s="276"/>
      <c r="O68" s="270"/>
      <c r="P68" s="270"/>
      <c r="Q68" s="276"/>
      <c r="R68" s="276"/>
      <c r="S68" s="276"/>
    </row>
    <row r="69" spans="1:19" s="1350" customFormat="1">
      <c r="A69" s="325"/>
      <c r="B69" s="276"/>
      <c r="C69" s="276"/>
      <c r="D69" s="325"/>
      <c r="E69" s="276"/>
      <c r="F69" s="276"/>
      <c r="G69" s="276"/>
      <c r="H69" s="276"/>
      <c r="J69" s="276"/>
      <c r="K69" s="276"/>
      <c r="L69" s="276"/>
      <c r="M69" s="276"/>
      <c r="N69" s="276"/>
      <c r="O69" s="270"/>
      <c r="P69" s="270"/>
      <c r="Q69" s="276"/>
      <c r="R69" s="276"/>
      <c r="S69" s="276"/>
    </row>
    <row r="70" spans="1:19" s="1350" customFormat="1" ht="15.75">
      <c r="A70" s="325"/>
      <c r="B70" s="276"/>
      <c r="C70" s="725" t="str">
        <f>"D.   Determine FCR with hypothetical "&amp;F12&amp;" basis point ROE increase."</f>
        <v>D.   Determine FCR with hypothetical 0 basis point ROE increase.</v>
      </c>
      <c r="D70" s="325"/>
      <c r="E70" s="276"/>
      <c r="F70" s="276"/>
      <c r="G70" s="276"/>
      <c r="H70" s="276"/>
      <c r="J70" s="276"/>
      <c r="K70" s="276"/>
      <c r="L70" s="276"/>
      <c r="M70" s="276"/>
      <c r="N70" s="276"/>
      <c r="O70" s="270"/>
      <c r="P70" s="270"/>
      <c r="Q70" s="276"/>
      <c r="R70" s="276"/>
      <c r="S70" s="276"/>
    </row>
    <row r="71" spans="1:19" s="1350" customFormat="1">
      <c r="A71" s="325">
        <f>+A68+1</f>
        <v>44</v>
      </c>
      <c r="B71" s="276"/>
      <c r="C71" s="27" t="str">
        <f>"   Net Transmission Plant  (TCOS, ln "&amp;'SWT TCOS'!B79&amp;")"</f>
        <v xml:space="preserve">   Net Transmission Plant  (TCOS, ln 37)</v>
      </c>
      <c r="D71" s="325"/>
      <c r="E71" s="276"/>
      <c r="F71" s="1614">
        <f>+'SWT TCOS'!L79</f>
        <v>7.6923076923076925E-7</v>
      </c>
      <c r="G71" s="1614"/>
      <c r="H71" s="276"/>
      <c r="J71" s="276"/>
      <c r="K71" s="276"/>
      <c r="L71" s="276"/>
      <c r="M71" s="276"/>
      <c r="N71" s="276"/>
      <c r="O71" s="270"/>
      <c r="P71" s="270"/>
      <c r="Q71" s="276"/>
      <c r="R71" s="276"/>
      <c r="S71" s="276"/>
    </row>
    <row r="72" spans="1:19" s="1350" customFormat="1" ht="15">
      <c r="A72" s="325">
        <f t="shared" si="0"/>
        <v>45</v>
      </c>
      <c r="B72" s="276"/>
      <c r="C72" s="270" t="str">
        <f>"   Net Revenue Requirement, with "&amp;F12&amp;" Basis Point ROE increase"</f>
        <v xml:space="preserve">   Net Revenue Requirement, with 0 Basis Point ROE increase</v>
      </c>
      <c r="D72" s="325"/>
      <c r="E72" s="276"/>
      <c r="F72" s="832">
        <f>+F54</f>
        <v>95911.07089873415</v>
      </c>
      <c r="G72" s="832"/>
      <c r="H72" s="276"/>
      <c r="J72" s="276"/>
      <c r="K72" s="276"/>
      <c r="L72" s="276"/>
      <c r="M72" s="276"/>
      <c r="N72" s="276"/>
      <c r="O72" s="270"/>
      <c r="P72" s="270"/>
      <c r="Q72" s="276"/>
      <c r="R72" s="276"/>
      <c r="S72" s="276"/>
    </row>
    <row r="73" spans="1:19" s="1350" customFormat="1">
      <c r="A73" s="325">
        <f t="shared" si="0"/>
        <v>46</v>
      </c>
      <c r="B73" s="276"/>
      <c r="C73" s="270" t="str">
        <f>"   FCR with "&amp;F12&amp;" Basis Point increase in ROE"</f>
        <v xml:space="preserve">   FCR with 0 Basis Point increase in ROE</v>
      </c>
      <c r="D73" s="325"/>
      <c r="E73" s="276"/>
      <c r="F73" s="358">
        <f>IF(F71=0,0,F72/F71)</f>
        <v>124684392168.35439</v>
      </c>
      <c r="G73" s="358"/>
      <c r="H73" s="276"/>
      <c r="J73" s="276"/>
      <c r="K73" s="276"/>
      <c r="L73" s="276"/>
      <c r="M73" s="276"/>
      <c r="N73" s="276"/>
      <c r="O73" s="270"/>
      <c r="P73" s="270"/>
      <c r="Q73" s="276"/>
      <c r="R73" s="276"/>
      <c r="S73" s="276"/>
    </row>
    <row r="74" spans="1:19" s="1350" customFormat="1">
      <c r="A74" s="325"/>
      <c r="B74" s="276"/>
      <c r="C74" s="276"/>
      <c r="D74" s="325"/>
      <c r="E74" s="276"/>
      <c r="F74" s="276"/>
      <c r="G74" s="276"/>
      <c r="H74" s="358"/>
      <c r="J74" s="276"/>
      <c r="K74" s="276"/>
      <c r="L74" s="276"/>
      <c r="M74" s="276"/>
      <c r="N74" s="276"/>
      <c r="O74" s="270"/>
      <c r="P74" s="270"/>
      <c r="Q74" s="276"/>
      <c r="R74" s="276"/>
      <c r="S74" s="276"/>
    </row>
    <row r="75" spans="1:19" s="1350" customFormat="1">
      <c r="A75" s="325">
        <f>+A73+1</f>
        <v>47</v>
      </c>
      <c r="B75" s="276"/>
      <c r="C75" s="270" t="str">
        <f>"   Net Rev. Req, w / "&amp;F12&amp;" Basis Point ROE increase, less Dep."</f>
        <v xml:space="preserve">   Net Rev. Req, w / 0 Basis Point ROE increase, less Dep.</v>
      </c>
      <c r="D75" s="325"/>
      <c r="E75" s="276"/>
      <c r="F75" s="1614">
        <f>+F56</f>
        <v>95911.07089873415</v>
      </c>
      <c r="G75" s="1614"/>
      <c r="H75" s="276"/>
      <c r="J75" s="276"/>
      <c r="K75" s="276"/>
      <c r="L75" s="276"/>
      <c r="M75" s="276"/>
      <c r="N75" s="276"/>
      <c r="O75" s="270"/>
      <c r="P75" s="270"/>
      <c r="Q75" s="276"/>
      <c r="R75" s="276"/>
      <c r="S75" s="276"/>
    </row>
    <row r="76" spans="1:19" s="1350" customFormat="1">
      <c r="A76" s="325">
        <f t="shared" ref="A76:A85" si="1">+A75+1</f>
        <v>48</v>
      </c>
      <c r="B76" s="276"/>
      <c r="C76" s="270" t="str">
        <f>"   FCR with "&amp;F12&amp;" Basis Point ROE increase, less Depreciation"</f>
        <v xml:space="preserve">   FCR with 0 Basis Point ROE increase, less Depreciation</v>
      </c>
      <c r="D76" s="325"/>
      <c r="E76" s="276"/>
      <c r="F76" s="358">
        <f>IF(F71=0,0,F75/F71)</f>
        <v>124684392168.35439</v>
      </c>
      <c r="G76" s="358"/>
      <c r="H76" s="1614"/>
      <c r="J76" s="276"/>
      <c r="K76" s="276"/>
      <c r="L76" s="276"/>
      <c r="M76" s="276"/>
      <c r="N76" s="276"/>
      <c r="O76" s="270"/>
      <c r="P76" s="270"/>
      <c r="Q76" s="276"/>
      <c r="R76" s="276"/>
      <c r="S76" s="276"/>
    </row>
    <row r="77" spans="1:19">
      <c r="A77" s="325">
        <f t="shared" si="1"/>
        <v>49</v>
      </c>
      <c r="C77" s="27" t="str">
        <f>"   FCR less Depreciation  (TCOS, ln "&amp;'SWT TCOS'!B30&amp;")"</f>
        <v xml:space="preserve">   FCR less Depreciation  (TCOS, ln 10)</v>
      </c>
      <c r="F77" s="833">
        <f>+'SWT TCOS'!L30</f>
        <v>204037119907.83557</v>
      </c>
      <c r="G77" s="833"/>
      <c r="H77" s="1637"/>
    </row>
    <row r="78" spans="1:19">
      <c r="A78" s="325">
        <f t="shared" si="1"/>
        <v>50</v>
      </c>
      <c r="C78" s="270" t="str">
        <f>"   Incremental FCR with "&amp;F12&amp;" Basis Point ROE increase, less Depreciation"</f>
        <v xml:space="preserve">   Incremental FCR with 0 Basis Point ROE increase, less Depreciation</v>
      </c>
      <c r="F78" s="358">
        <f>F76-F77</f>
        <v>-79352727739.481186</v>
      </c>
      <c r="G78" s="358"/>
    </row>
    <row r="79" spans="1:19">
      <c r="A79" s="325"/>
      <c r="C79" s="270"/>
      <c r="F79" s="358"/>
      <c r="G79" s="358"/>
    </row>
    <row r="80" spans="1:19" ht="18.75">
      <c r="A80" s="325"/>
      <c r="B80" s="723" t="s">
        <v>309</v>
      </c>
      <c r="C80" s="721" t="s">
        <v>377</v>
      </c>
      <c r="F80" s="358"/>
      <c r="G80" s="358"/>
    </row>
    <row r="81" spans="1:16">
      <c r="A81" s="325">
        <f>+A78+1</f>
        <v>51</v>
      </c>
      <c r="C81" s="270" t="str">
        <f>"Transmission Plant Average Balance for "&amp;'SWT TCOS'!$N$2&amp;" (WS A-1 Ln "&amp;'SWT WS A-1 - Plant'!A24&amp;" Col "&amp;'SWT WS A-1 - Plant'!E9&amp;")"</f>
        <v>Transmission Plant Average Balance for 2022 (WS A-1 Ln 14 Col (d))</v>
      </c>
      <c r="F81" s="1382">
        <f>+'SWT WS A-1 - Plant'!E24</f>
        <v>7.6923076923076925E-7</v>
      </c>
      <c r="G81" s="1382"/>
    </row>
    <row r="82" spans="1:16">
      <c r="A82" s="325">
        <f t="shared" si="1"/>
        <v>52</v>
      </c>
      <c r="C82" s="27" t="str">
        <f>"Annual Depreciation Expense  (TCOS, ln "&amp;'SWT TCOS'!B153&amp;")"</f>
        <v>Annual Depreciation Expense  (TCOS, ln 86)</v>
      </c>
      <c r="F82" s="1382">
        <f>+'SWT TCOS'!G153</f>
        <v>0</v>
      </c>
      <c r="G82" s="1382"/>
    </row>
    <row r="83" spans="1:16">
      <c r="A83" s="325">
        <f t="shared" si="1"/>
        <v>53</v>
      </c>
      <c r="C83" s="270" t="s">
        <v>378</v>
      </c>
      <c r="F83" s="358">
        <f>IF(F81=0,0,F82/F81)</f>
        <v>0</v>
      </c>
      <c r="G83" s="358"/>
      <c r="I83" s="1471"/>
    </row>
    <row r="84" spans="1:16">
      <c r="A84" s="325">
        <f t="shared" si="1"/>
        <v>54</v>
      </c>
      <c r="C84" s="270" t="s">
        <v>379</v>
      </c>
      <c r="F84" s="1638">
        <f>IF(F83=0,0,1/F83)</f>
        <v>0</v>
      </c>
      <c r="G84" s="1638"/>
    </row>
    <row r="85" spans="1:16">
      <c r="A85" s="325">
        <f t="shared" si="1"/>
        <v>55</v>
      </c>
      <c r="C85" s="270" t="s">
        <v>380</v>
      </c>
      <c r="F85" s="1484">
        <f>ROUND(F84,0)</f>
        <v>0</v>
      </c>
      <c r="G85" s="1484"/>
    </row>
    <row r="86" spans="1:16">
      <c r="C86" s="270"/>
      <c r="F86" s="1484"/>
      <c r="G86" s="1484"/>
    </row>
    <row r="87" spans="1:16">
      <c r="C87" s="270"/>
      <c r="F87" s="1484"/>
      <c r="G87" s="1484"/>
    </row>
    <row r="88" spans="1:16" ht="20.25">
      <c r="A88" s="836" t="str">
        <f>"'Worksheet F --  "&amp;'SWT TCOS'!F8&amp;" --  Calculation of Projected ARR for SPP Base Plan Upgrade Projects"</f>
        <v>'Worksheet F --  AEP SOUTHWESTERN TRANSMISSION COMPANY --  Calculation of Projected ARR for SPP Base Plan Upgrade Projects</v>
      </c>
      <c r="B88" s="394"/>
      <c r="C88" s="270"/>
      <c r="D88" s="1639"/>
      <c r="E88" s="394"/>
      <c r="F88" s="1640"/>
      <c r="G88" s="394"/>
      <c r="H88" s="1641"/>
      <c r="I88" s="394"/>
      <c r="J88" s="1320"/>
      <c r="K88" s="841"/>
      <c r="L88" s="841"/>
      <c r="M88" s="841"/>
      <c r="N88" s="842"/>
      <c r="O88" s="394"/>
    </row>
    <row r="89" spans="1:16" ht="18">
      <c r="A89" s="394"/>
      <c r="B89" s="394"/>
      <c r="C89" s="394"/>
      <c r="D89" s="1639"/>
      <c r="E89" s="394"/>
      <c r="F89" s="394"/>
      <c r="G89" s="394"/>
      <c r="H89" s="1641"/>
      <c r="I89" s="394"/>
      <c r="J89" s="1320"/>
      <c r="K89" s="394"/>
      <c r="L89" s="394"/>
      <c r="M89" s="394"/>
      <c r="N89" s="843"/>
      <c r="O89" s="394"/>
    </row>
    <row r="90" spans="1:16" ht="18.75">
      <c r="A90" s="394"/>
      <c r="B90" s="723" t="s">
        <v>310</v>
      </c>
      <c r="C90" s="721" t="s">
        <v>442</v>
      </c>
      <c r="D90" s="1639"/>
      <c r="E90" s="394"/>
      <c r="F90" s="394"/>
      <c r="G90" s="394"/>
      <c r="H90" s="1641"/>
      <c r="I90" s="1641"/>
      <c r="J90" s="1642"/>
      <c r="K90" s="1641"/>
      <c r="L90" s="1641"/>
      <c r="M90" s="1641"/>
      <c r="N90" s="1641"/>
      <c r="O90" s="394"/>
      <c r="P90" s="845"/>
    </row>
    <row r="91" spans="1:16" ht="15.75" thickBot="1">
      <c r="A91" s="394"/>
      <c r="B91" s="394"/>
      <c r="C91" s="314"/>
      <c r="D91" s="1639"/>
      <c r="E91" s="394"/>
      <c r="F91" s="394"/>
      <c r="G91" s="394"/>
      <c r="H91" s="1641"/>
      <c r="I91" s="1641"/>
      <c r="J91" s="1642"/>
      <c r="K91" s="1641"/>
      <c r="L91" s="1641"/>
      <c r="M91" s="1641"/>
      <c r="N91" s="1641"/>
      <c r="O91" s="394"/>
      <c r="P91" s="394"/>
    </row>
    <row r="92" spans="1:16" ht="15">
      <c r="A92" s="394"/>
      <c r="B92" s="394"/>
      <c r="C92" s="846" t="s">
        <v>443</v>
      </c>
      <c r="D92" s="1639"/>
      <c r="E92" s="394"/>
      <c r="F92" s="394"/>
      <c r="G92" s="1643"/>
      <c r="H92" s="848"/>
      <c r="I92" s="394"/>
      <c r="J92" s="1320"/>
      <c r="K92" s="849" t="s">
        <v>477</v>
      </c>
      <c r="L92" s="850"/>
      <c r="M92" s="1644"/>
      <c r="N92" s="1645"/>
      <c r="O92" s="394"/>
      <c r="P92" s="394"/>
    </row>
    <row r="93" spans="1:16" ht="15.75">
      <c r="A93" s="394"/>
      <c r="B93" s="394"/>
      <c r="C93" s="853"/>
      <c r="D93" s="1639"/>
      <c r="E93" s="394"/>
      <c r="F93" s="394"/>
      <c r="G93" s="394"/>
      <c r="H93" s="1646"/>
      <c r="I93" s="1646"/>
      <c r="J93" s="1647"/>
      <c r="K93" s="856" t="s">
        <v>478</v>
      </c>
      <c r="L93" s="1648"/>
      <c r="M93" s="1320"/>
      <c r="N93" s="1649"/>
      <c r="O93" s="394"/>
      <c r="P93" s="394"/>
    </row>
    <row r="94" spans="1:16" ht="13.5" thickBot="1">
      <c r="A94" s="394"/>
      <c r="B94" s="394"/>
      <c r="C94" s="572" t="s">
        <v>444</v>
      </c>
      <c r="D94" s="859"/>
      <c r="E94" s="859"/>
      <c r="F94" s="859"/>
      <c r="G94" s="394"/>
      <c r="H94" s="1641"/>
      <c r="I94" s="1641"/>
      <c r="J94" s="1642"/>
      <c r="K94" s="1650" t="s">
        <v>445</v>
      </c>
      <c r="L94" s="1651"/>
      <c r="M94" s="1651"/>
      <c r="N94" s="1652">
        <f>+N93-N92</f>
        <v>0</v>
      </c>
      <c r="O94" s="394"/>
      <c r="P94" s="394"/>
    </row>
    <row r="95" spans="1:16" ht="13.5" thickBot="1">
      <c r="A95" s="394"/>
      <c r="B95" s="394"/>
      <c r="C95" s="863"/>
      <c r="D95" s="323"/>
      <c r="E95" s="335"/>
      <c r="F95" s="335"/>
      <c r="G95" s="335"/>
      <c r="H95" s="335"/>
      <c r="I95" s="335"/>
      <c r="J95" s="1583"/>
      <c r="K95" s="335"/>
      <c r="L95" s="335"/>
      <c r="M95" s="335"/>
      <c r="N95" s="335"/>
      <c r="O95" s="1583"/>
    </row>
    <row r="96" spans="1:16" ht="13.5" thickBot="1">
      <c r="A96" s="394"/>
      <c r="B96" s="394"/>
      <c r="C96" s="864" t="s">
        <v>446</v>
      </c>
      <c r="D96" s="865"/>
      <c r="E96" s="1653" t="s">
        <v>637</v>
      </c>
      <c r="F96" s="867"/>
      <c r="G96" s="867"/>
      <c r="H96" s="867"/>
      <c r="I96" s="868"/>
      <c r="J96" s="869"/>
      <c r="K96" s="394"/>
      <c r="L96" s="394"/>
      <c r="M96" s="394"/>
      <c r="N96" s="394"/>
      <c r="O96" s="1654"/>
      <c r="P96" s="1320"/>
    </row>
    <row r="97" spans="1:16">
      <c r="A97" s="394"/>
      <c r="B97" s="394"/>
      <c r="C97" s="1655" t="s">
        <v>447</v>
      </c>
      <c r="D97" s="1656"/>
      <c r="E97" s="1617" t="s">
        <v>51</v>
      </c>
      <c r="F97" s="1654"/>
      <c r="G97" s="1657"/>
      <c r="H97" s="1657"/>
      <c r="I97" s="874">
        <f>+K19</f>
        <v>2022</v>
      </c>
      <c r="J97" s="869"/>
      <c r="K97" s="1642" t="s">
        <v>448</v>
      </c>
      <c r="L97" s="394"/>
      <c r="M97" s="394"/>
      <c r="N97" s="394"/>
      <c r="O97" s="1320"/>
      <c r="P97" s="1320"/>
    </row>
    <row r="98" spans="1:16">
      <c r="A98" s="394"/>
      <c r="B98" s="394"/>
      <c r="C98" s="1590" t="s">
        <v>449</v>
      </c>
      <c r="D98" s="1658"/>
      <c r="E98" s="1590" t="s">
        <v>450</v>
      </c>
      <c r="F98" s="1657"/>
      <c r="G98" s="1320"/>
      <c r="H98" s="1320"/>
      <c r="I98" s="1659">
        <f>+F12</f>
        <v>0</v>
      </c>
      <c r="J98" s="1660"/>
      <c r="K98" s="394" t="str">
        <f>"          INPUT PROJECTED ARR (WITH &amp; WITHOUT INCENTIVES) FROM EACH PRIOR YEAR"</f>
        <v xml:space="preserve">          INPUT PROJECTED ARR (WITH &amp; WITHOUT INCENTIVES) FROM EACH PRIOR YEAR</v>
      </c>
      <c r="L98" s="394"/>
      <c r="M98" s="394"/>
      <c r="N98" s="394"/>
      <c r="O98" s="1320"/>
      <c r="P98" s="1320"/>
    </row>
    <row r="99" spans="1:16">
      <c r="A99" s="394"/>
      <c r="B99" s="394"/>
      <c r="C99" s="1590" t="s">
        <v>451</v>
      </c>
      <c r="D99" s="1656">
        <v>0</v>
      </c>
      <c r="E99" s="1590" t="s">
        <v>452</v>
      </c>
      <c r="F99" s="1657"/>
      <c r="G99" s="1320"/>
      <c r="H99" s="1320"/>
      <c r="I99" s="1661">
        <f>+F77</f>
        <v>204037119907.83557</v>
      </c>
      <c r="J99" s="1613"/>
      <c r="K99" s="394" t="s">
        <v>453</v>
      </c>
      <c r="L99" s="394"/>
      <c r="M99" s="394"/>
      <c r="N99" s="394"/>
      <c r="O99" s="1320"/>
      <c r="P99" s="1320"/>
    </row>
    <row r="100" spans="1:16">
      <c r="A100" s="394"/>
      <c r="B100" s="394"/>
      <c r="C100" s="1590" t="s">
        <v>454</v>
      </c>
      <c r="D100" s="1656">
        <v>0</v>
      </c>
      <c r="E100" s="1590" t="s">
        <v>455</v>
      </c>
      <c r="F100" s="1657"/>
      <c r="G100" s="1320"/>
      <c r="H100" s="1320"/>
      <c r="I100" s="1661">
        <f>IF(G92="",I99,F76)</f>
        <v>204037119907.83557</v>
      </c>
      <c r="J100" s="1613"/>
      <c r="K100" s="1642" t="s">
        <v>456</v>
      </c>
      <c r="L100" s="1662"/>
      <c r="M100" s="1662"/>
      <c r="N100" s="1662"/>
      <c r="O100" s="1320"/>
      <c r="P100" s="1320"/>
    </row>
    <row r="101" spans="1:16" ht="13.5" thickBot="1">
      <c r="A101" s="394"/>
      <c r="B101" s="394"/>
      <c r="C101" s="1590" t="s">
        <v>457</v>
      </c>
      <c r="D101" s="1658"/>
      <c r="E101" s="1320" t="s">
        <v>458</v>
      </c>
      <c r="F101" s="1657"/>
      <c r="G101" s="1320"/>
      <c r="H101" s="1320"/>
      <c r="I101" s="1663">
        <f>IF(D97=0,0,D97/D100)</f>
        <v>0</v>
      </c>
      <c r="J101" s="1642"/>
      <c r="K101" s="1642"/>
      <c r="L101" s="1642"/>
      <c r="M101" s="1642"/>
      <c r="N101" s="1642"/>
      <c r="O101" s="1320"/>
      <c r="P101" s="1320"/>
    </row>
    <row r="102" spans="1:16" ht="66" customHeight="1">
      <c r="A102" s="394"/>
      <c r="B102" s="394"/>
      <c r="C102" s="881" t="s">
        <v>381</v>
      </c>
      <c r="D102" s="1664" t="s">
        <v>459</v>
      </c>
      <c r="E102" s="1664" t="s">
        <v>460</v>
      </c>
      <c r="F102" s="1664" t="s">
        <v>461</v>
      </c>
      <c r="G102" s="1665" t="s">
        <v>462</v>
      </c>
      <c r="H102" s="1666" t="s">
        <v>463</v>
      </c>
      <c r="I102" s="881" t="s">
        <v>464</v>
      </c>
      <c r="J102" s="885"/>
      <c r="K102" s="1667" t="s">
        <v>465</v>
      </c>
      <c r="L102" s="1668" t="s">
        <v>466</v>
      </c>
      <c r="M102" s="1667" t="s">
        <v>465</v>
      </c>
      <c r="N102" s="1668" t="s">
        <v>466</v>
      </c>
      <c r="O102" s="1669" t="s">
        <v>467</v>
      </c>
      <c r="P102" s="1320"/>
    </row>
    <row r="103" spans="1:16" ht="15" customHeight="1" thickBot="1">
      <c r="A103" s="394"/>
      <c r="B103" s="394"/>
      <c r="C103" s="889" t="s">
        <v>468</v>
      </c>
      <c r="D103" s="890" t="s">
        <v>313</v>
      </c>
      <c r="E103" s="890" t="s">
        <v>212</v>
      </c>
      <c r="F103" s="890" t="s">
        <v>313</v>
      </c>
      <c r="G103" s="1670" t="s">
        <v>469</v>
      </c>
      <c r="H103" s="1671" t="s">
        <v>470</v>
      </c>
      <c r="I103" s="893" t="s">
        <v>630</v>
      </c>
      <c r="J103" s="894" t="s">
        <v>471</v>
      </c>
      <c r="K103" s="1672" t="s">
        <v>472</v>
      </c>
      <c r="L103" s="1673" t="s">
        <v>472</v>
      </c>
      <c r="M103" s="1672" t="s">
        <v>631</v>
      </c>
      <c r="N103" s="1674" t="s">
        <v>631</v>
      </c>
      <c r="O103" s="1672" t="s">
        <v>631</v>
      </c>
      <c r="P103" s="1320"/>
    </row>
    <row r="104" spans="1:16">
      <c r="A104" s="394"/>
      <c r="B104" s="1639"/>
      <c r="C104" s="1675" t="str">
        <f>IF(D98= "","-",D98)</f>
        <v>-</v>
      </c>
      <c r="D104" s="1676">
        <f>D97</f>
        <v>0</v>
      </c>
      <c r="E104" s="1677">
        <f>I101/12*(12-D99)</f>
        <v>0</v>
      </c>
      <c r="F104" s="1676">
        <f t="shared" ref="F104:F159" si="2">+D104-E104</f>
        <v>0</v>
      </c>
      <c r="G104" s="1677">
        <f>+I99*F104+E104</f>
        <v>0</v>
      </c>
      <c r="H104" s="1663">
        <f>+I100*F104+E104</f>
        <v>0</v>
      </c>
      <c r="I104" s="1678">
        <f t="shared" ref="I104:I159" si="3">H104-G104</f>
        <v>0</v>
      </c>
      <c r="J104" s="1678"/>
      <c r="K104" s="1679"/>
      <c r="L104" s="1680">
        <f t="shared" ref="L104:L159" si="4">IF(K104&lt;&gt;0,+G104-K104,0)</f>
        <v>0</v>
      </c>
      <c r="M104" s="1679"/>
      <c r="N104" s="1680">
        <f t="shared" ref="N104:N159" si="5">IF(M104&lt;&gt;0,+H104-M104,0)</f>
        <v>0</v>
      </c>
      <c r="O104" s="1681">
        <f t="shared" ref="O104:O159" si="6">+N104-L104</f>
        <v>0</v>
      </c>
      <c r="P104" s="1320"/>
    </row>
    <row r="105" spans="1:16">
      <c r="A105" s="394"/>
      <c r="B105" s="1639" t="str">
        <f>IF(D105=F104,"","IU")</f>
        <v/>
      </c>
      <c r="C105" s="1675" t="str">
        <f>IF(D98="","-",+C104+1)</f>
        <v>-</v>
      </c>
      <c r="D105" s="1682">
        <f t="shared" ref="D105:D159" si="7">F104</f>
        <v>0</v>
      </c>
      <c r="E105" s="1683">
        <f>IF(+I101&lt;F104,I101,D105)</f>
        <v>0</v>
      </c>
      <c r="F105" s="1682">
        <f t="shared" si="2"/>
        <v>0</v>
      </c>
      <c r="G105" s="1683">
        <f>+I$11*F105+E105</f>
        <v>0</v>
      </c>
      <c r="H105" s="1663">
        <f>+I$12*F105+E105</f>
        <v>0</v>
      </c>
      <c r="I105" s="1678">
        <f t="shared" si="3"/>
        <v>0</v>
      </c>
      <c r="J105" s="1678"/>
      <c r="K105" s="1684"/>
      <c r="L105" s="1681">
        <f t="shared" si="4"/>
        <v>0</v>
      </c>
      <c r="M105" s="1684"/>
      <c r="N105" s="1681">
        <f t="shared" si="5"/>
        <v>0</v>
      </c>
      <c r="O105" s="1681">
        <f t="shared" si="6"/>
        <v>0</v>
      </c>
      <c r="P105" s="1320"/>
    </row>
    <row r="106" spans="1:16">
      <c r="A106" s="394"/>
      <c r="B106" s="1639" t="str">
        <f>IF(D106=F105,"","IU")</f>
        <v/>
      </c>
      <c r="C106" s="1675" t="str">
        <f>IF(D98="","-",+C105+1)</f>
        <v>-</v>
      </c>
      <c r="D106" s="1682">
        <f t="shared" si="7"/>
        <v>0</v>
      </c>
      <c r="E106" s="1683">
        <f>IF(+I101&lt;F105,I101,D106)</f>
        <v>0</v>
      </c>
      <c r="F106" s="1682">
        <f t="shared" si="2"/>
        <v>0</v>
      </c>
      <c r="G106" s="1683">
        <f t="shared" ref="G106:G159" si="8">+I$11*F106+E106</f>
        <v>0</v>
      </c>
      <c r="H106" s="1663">
        <f t="shared" ref="H106:H159" si="9">+I$12*F106+E106</f>
        <v>0</v>
      </c>
      <c r="I106" s="1678">
        <f t="shared" si="3"/>
        <v>0</v>
      </c>
      <c r="J106" s="1678"/>
      <c r="K106" s="1684"/>
      <c r="L106" s="1681">
        <f t="shared" si="4"/>
        <v>0</v>
      </c>
      <c r="M106" s="1684"/>
      <c r="N106" s="1681">
        <f t="shared" si="5"/>
        <v>0</v>
      </c>
      <c r="O106" s="1681">
        <f t="shared" si="6"/>
        <v>0</v>
      </c>
      <c r="P106" s="1320"/>
    </row>
    <row r="107" spans="1:16">
      <c r="A107" s="394"/>
      <c r="B107" s="1639" t="str">
        <f t="shared" ref="B107:B159" si="10">IF(D107=F106,"","IU")</f>
        <v/>
      </c>
      <c r="C107" s="1675" t="str">
        <f>IF(D98="","-",+C106+1)</f>
        <v>-</v>
      </c>
      <c r="D107" s="1682">
        <f t="shared" si="7"/>
        <v>0</v>
      </c>
      <c r="E107" s="1683">
        <f>IF(+I101&lt;F106,I101,D107)</f>
        <v>0</v>
      </c>
      <c r="F107" s="1682">
        <f t="shared" si="2"/>
        <v>0</v>
      </c>
      <c r="G107" s="1683">
        <f t="shared" si="8"/>
        <v>0</v>
      </c>
      <c r="H107" s="1663">
        <f t="shared" si="9"/>
        <v>0</v>
      </c>
      <c r="I107" s="1678">
        <f t="shared" si="3"/>
        <v>0</v>
      </c>
      <c r="J107" s="1678"/>
      <c r="K107" s="1684"/>
      <c r="L107" s="1681">
        <f t="shared" si="4"/>
        <v>0</v>
      </c>
      <c r="M107" s="1684"/>
      <c r="N107" s="1681">
        <f t="shared" si="5"/>
        <v>0</v>
      </c>
      <c r="O107" s="1681">
        <f t="shared" si="6"/>
        <v>0</v>
      </c>
      <c r="P107" s="1320"/>
    </row>
    <row r="108" spans="1:16">
      <c r="A108" s="394"/>
      <c r="B108" s="1639" t="str">
        <f t="shared" si="10"/>
        <v/>
      </c>
      <c r="C108" s="1675" t="str">
        <f>IF(D98="","-",+C107+1)</f>
        <v>-</v>
      </c>
      <c r="D108" s="1682">
        <f t="shared" si="7"/>
        <v>0</v>
      </c>
      <c r="E108" s="1683">
        <f>IF(+I101&lt;F107,I101,D108)</f>
        <v>0</v>
      </c>
      <c r="F108" s="1682">
        <f t="shared" si="2"/>
        <v>0</v>
      </c>
      <c r="G108" s="1683">
        <f t="shared" si="8"/>
        <v>0</v>
      </c>
      <c r="H108" s="1663">
        <f t="shared" si="9"/>
        <v>0</v>
      </c>
      <c r="I108" s="1678">
        <f t="shared" si="3"/>
        <v>0</v>
      </c>
      <c r="J108" s="1678"/>
      <c r="K108" s="1684"/>
      <c r="L108" s="1681">
        <f t="shared" si="4"/>
        <v>0</v>
      </c>
      <c r="M108" s="1684"/>
      <c r="N108" s="1681">
        <f t="shared" si="5"/>
        <v>0</v>
      </c>
      <c r="O108" s="1681">
        <f t="shared" si="6"/>
        <v>0</v>
      </c>
      <c r="P108" s="1320"/>
    </row>
    <row r="109" spans="1:16">
      <c r="A109" s="394"/>
      <c r="B109" s="1639" t="str">
        <f t="shared" si="10"/>
        <v/>
      </c>
      <c r="C109" s="1675" t="str">
        <f>IF(D98="","-",+C108+1)</f>
        <v>-</v>
      </c>
      <c r="D109" s="1682">
        <f t="shared" si="7"/>
        <v>0</v>
      </c>
      <c r="E109" s="1683">
        <f>IF(+I101&lt;F108,I101,D109)</f>
        <v>0</v>
      </c>
      <c r="F109" s="1682">
        <f t="shared" si="2"/>
        <v>0</v>
      </c>
      <c r="G109" s="1683">
        <f t="shared" si="8"/>
        <v>0</v>
      </c>
      <c r="H109" s="1663">
        <f t="shared" si="9"/>
        <v>0</v>
      </c>
      <c r="I109" s="1678">
        <f t="shared" si="3"/>
        <v>0</v>
      </c>
      <c r="J109" s="1678"/>
      <c r="K109" s="1684"/>
      <c r="L109" s="1681">
        <f t="shared" si="4"/>
        <v>0</v>
      </c>
      <c r="M109" s="1684"/>
      <c r="N109" s="1681">
        <f t="shared" si="5"/>
        <v>0</v>
      </c>
      <c r="O109" s="1681">
        <f t="shared" si="6"/>
        <v>0</v>
      </c>
      <c r="P109" s="1320"/>
    </row>
    <row r="110" spans="1:16">
      <c r="A110" s="394"/>
      <c r="B110" s="1639" t="str">
        <f t="shared" si="10"/>
        <v/>
      </c>
      <c r="C110" s="1675" t="str">
        <f>IF(D98="","-",+C109+1)</f>
        <v>-</v>
      </c>
      <c r="D110" s="1682">
        <f t="shared" si="7"/>
        <v>0</v>
      </c>
      <c r="E110" s="1683">
        <f>IF(+I101&lt;F109,I101,D110)</f>
        <v>0</v>
      </c>
      <c r="F110" s="1682">
        <f t="shared" si="2"/>
        <v>0</v>
      </c>
      <c r="G110" s="1683">
        <f t="shared" si="8"/>
        <v>0</v>
      </c>
      <c r="H110" s="1663">
        <f t="shared" si="9"/>
        <v>0</v>
      </c>
      <c r="I110" s="1678">
        <f t="shared" si="3"/>
        <v>0</v>
      </c>
      <c r="J110" s="1678"/>
      <c r="K110" s="1684"/>
      <c r="L110" s="1681">
        <f t="shared" si="4"/>
        <v>0</v>
      </c>
      <c r="M110" s="1684"/>
      <c r="N110" s="1681">
        <f t="shared" si="5"/>
        <v>0</v>
      </c>
      <c r="O110" s="1681">
        <f t="shared" si="6"/>
        <v>0</v>
      </c>
      <c r="P110" s="1320"/>
    </row>
    <row r="111" spans="1:16">
      <c r="A111" s="394"/>
      <c r="B111" s="1639" t="str">
        <f t="shared" si="10"/>
        <v/>
      </c>
      <c r="C111" s="1675" t="str">
        <f>IF(D98="","-",+C110+1)</f>
        <v>-</v>
      </c>
      <c r="D111" s="1682">
        <f t="shared" si="7"/>
        <v>0</v>
      </c>
      <c r="E111" s="1683">
        <f>IF(+I101&lt;F110,I101,D111)</f>
        <v>0</v>
      </c>
      <c r="F111" s="1682">
        <f t="shared" si="2"/>
        <v>0</v>
      </c>
      <c r="G111" s="1683">
        <f t="shared" si="8"/>
        <v>0</v>
      </c>
      <c r="H111" s="1663">
        <f t="shared" si="9"/>
        <v>0</v>
      </c>
      <c r="I111" s="1678">
        <f t="shared" si="3"/>
        <v>0</v>
      </c>
      <c r="J111" s="1678"/>
      <c r="K111" s="1684"/>
      <c r="L111" s="1681">
        <f t="shared" si="4"/>
        <v>0</v>
      </c>
      <c r="M111" s="1684"/>
      <c r="N111" s="1681">
        <f t="shared" si="5"/>
        <v>0</v>
      </c>
      <c r="O111" s="1681">
        <f t="shared" si="6"/>
        <v>0</v>
      </c>
      <c r="P111" s="1320"/>
    </row>
    <row r="112" spans="1:16">
      <c r="A112" s="394"/>
      <c r="B112" s="1639" t="str">
        <f t="shared" si="10"/>
        <v/>
      </c>
      <c r="C112" s="1675" t="str">
        <f>IF(D98="","-",+C111+1)</f>
        <v>-</v>
      </c>
      <c r="D112" s="1682">
        <f t="shared" si="7"/>
        <v>0</v>
      </c>
      <c r="E112" s="1683">
        <f>IF(+I101&lt;F111,I101,D112)</f>
        <v>0</v>
      </c>
      <c r="F112" s="1682">
        <f t="shared" si="2"/>
        <v>0</v>
      </c>
      <c r="G112" s="1683">
        <f t="shared" si="8"/>
        <v>0</v>
      </c>
      <c r="H112" s="1663">
        <f t="shared" si="9"/>
        <v>0</v>
      </c>
      <c r="I112" s="1678">
        <f t="shared" si="3"/>
        <v>0</v>
      </c>
      <c r="J112" s="1678"/>
      <c r="K112" s="1684"/>
      <c r="L112" s="1681">
        <f t="shared" si="4"/>
        <v>0</v>
      </c>
      <c r="M112" s="1684"/>
      <c r="N112" s="1681">
        <f t="shared" si="5"/>
        <v>0</v>
      </c>
      <c r="O112" s="1681">
        <f t="shared" si="6"/>
        <v>0</v>
      </c>
      <c r="P112" s="1320"/>
    </row>
    <row r="113" spans="1:16">
      <c r="A113" s="394"/>
      <c r="B113" s="1639" t="str">
        <f t="shared" si="10"/>
        <v/>
      </c>
      <c r="C113" s="1675" t="str">
        <f>IF(D98="","-",+C112+1)</f>
        <v>-</v>
      </c>
      <c r="D113" s="1682">
        <f t="shared" si="7"/>
        <v>0</v>
      </c>
      <c r="E113" s="1683">
        <f>IF(+I101&lt;F112,I101,D113)</f>
        <v>0</v>
      </c>
      <c r="F113" s="1682">
        <f t="shared" si="2"/>
        <v>0</v>
      </c>
      <c r="G113" s="1683">
        <f t="shared" si="8"/>
        <v>0</v>
      </c>
      <c r="H113" s="1663">
        <f t="shared" si="9"/>
        <v>0</v>
      </c>
      <c r="I113" s="1678">
        <f t="shared" si="3"/>
        <v>0</v>
      </c>
      <c r="J113" s="1678"/>
      <c r="K113" s="1684"/>
      <c r="L113" s="1681">
        <f t="shared" si="4"/>
        <v>0</v>
      </c>
      <c r="M113" s="1684"/>
      <c r="N113" s="1681">
        <f t="shared" si="5"/>
        <v>0</v>
      </c>
      <c r="O113" s="1681">
        <f t="shared" si="6"/>
        <v>0</v>
      </c>
      <c r="P113" s="1320"/>
    </row>
    <row r="114" spans="1:16">
      <c r="A114" s="394"/>
      <c r="B114" s="1639" t="str">
        <f t="shared" si="10"/>
        <v/>
      </c>
      <c r="C114" s="1675" t="str">
        <f>IF(D98="","-",+C113+1)</f>
        <v>-</v>
      </c>
      <c r="D114" s="1685">
        <f t="shared" si="7"/>
        <v>0</v>
      </c>
      <c r="E114" s="1683">
        <f>IF(+I101&lt;F113,I101,D114)</f>
        <v>0</v>
      </c>
      <c r="F114" s="1682">
        <f t="shared" si="2"/>
        <v>0</v>
      </c>
      <c r="G114" s="1683">
        <f t="shared" si="8"/>
        <v>0</v>
      </c>
      <c r="H114" s="1663">
        <f t="shared" si="9"/>
        <v>0</v>
      </c>
      <c r="I114" s="1678">
        <f t="shared" si="3"/>
        <v>0</v>
      </c>
      <c r="J114" s="1678"/>
      <c r="K114" s="1684"/>
      <c r="L114" s="1681">
        <f t="shared" si="4"/>
        <v>0</v>
      </c>
      <c r="M114" s="1684"/>
      <c r="N114" s="1681">
        <f t="shared" si="5"/>
        <v>0</v>
      </c>
      <c r="O114" s="1681">
        <f t="shared" si="6"/>
        <v>0</v>
      </c>
      <c r="P114" s="1320"/>
    </row>
    <row r="115" spans="1:16">
      <c r="A115" s="394"/>
      <c r="B115" s="1639" t="str">
        <f t="shared" si="10"/>
        <v/>
      </c>
      <c r="C115" s="1675" t="str">
        <f>IF(D98="","-",+C114+1)</f>
        <v>-</v>
      </c>
      <c r="D115" s="1682">
        <f t="shared" si="7"/>
        <v>0</v>
      </c>
      <c r="E115" s="1683">
        <f>IF(+I101&lt;F114,I101,D115)</f>
        <v>0</v>
      </c>
      <c r="F115" s="1682">
        <f t="shared" si="2"/>
        <v>0</v>
      </c>
      <c r="G115" s="1683">
        <f t="shared" si="8"/>
        <v>0</v>
      </c>
      <c r="H115" s="1663">
        <f t="shared" si="9"/>
        <v>0</v>
      </c>
      <c r="I115" s="1678">
        <f t="shared" si="3"/>
        <v>0</v>
      </c>
      <c r="J115" s="1678"/>
      <c r="K115" s="1684"/>
      <c r="L115" s="1681">
        <f t="shared" si="4"/>
        <v>0</v>
      </c>
      <c r="M115" s="1684"/>
      <c r="N115" s="1681">
        <f t="shared" si="5"/>
        <v>0</v>
      </c>
      <c r="O115" s="1681">
        <f t="shared" si="6"/>
        <v>0</v>
      </c>
      <c r="P115" s="1320"/>
    </row>
    <row r="116" spans="1:16">
      <c r="A116" s="394"/>
      <c r="B116" s="1639" t="str">
        <f t="shared" si="10"/>
        <v/>
      </c>
      <c r="C116" s="1675" t="str">
        <f>IF(D98="","-",+C115+1)</f>
        <v>-</v>
      </c>
      <c r="D116" s="1682">
        <f t="shared" si="7"/>
        <v>0</v>
      </c>
      <c r="E116" s="1683">
        <f>IF(+I101&lt;F115,I101,D116)</f>
        <v>0</v>
      </c>
      <c r="F116" s="1682">
        <f t="shared" si="2"/>
        <v>0</v>
      </c>
      <c r="G116" s="1683">
        <f t="shared" si="8"/>
        <v>0</v>
      </c>
      <c r="H116" s="1663">
        <f t="shared" si="9"/>
        <v>0</v>
      </c>
      <c r="I116" s="1678">
        <f t="shared" si="3"/>
        <v>0</v>
      </c>
      <c r="J116" s="1678"/>
      <c r="K116" s="1684"/>
      <c r="L116" s="1681">
        <f t="shared" si="4"/>
        <v>0</v>
      </c>
      <c r="M116" s="1684"/>
      <c r="N116" s="1681">
        <f t="shared" si="5"/>
        <v>0</v>
      </c>
      <c r="O116" s="1681">
        <f t="shared" si="6"/>
        <v>0</v>
      </c>
      <c r="P116" s="1320"/>
    </row>
    <row r="117" spans="1:16">
      <c r="A117" s="394"/>
      <c r="B117" s="1639" t="str">
        <f t="shared" si="10"/>
        <v/>
      </c>
      <c r="C117" s="1675" t="str">
        <f>IF(D98="","-",+C116+1)</f>
        <v>-</v>
      </c>
      <c r="D117" s="1682">
        <f t="shared" si="7"/>
        <v>0</v>
      </c>
      <c r="E117" s="1683">
        <f>IF(+I101&lt;F116,I101,D117)</f>
        <v>0</v>
      </c>
      <c r="F117" s="1682">
        <f t="shared" si="2"/>
        <v>0</v>
      </c>
      <c r="G117" s="1683">
        <f t="shared" si="8"/>
        <v>0</v>
      </c>
      <c r="H117" s="1663">
        <f t="shared" si="9"/>
        <v>0</v>
      </c>
      <c r="I117" s="1678">
        <f t="shared" si="3"/>
        <v>0</v>
      </c>
      <c r="J117" s="1678"/>
      <c r="K117" s="1684"/>
      <c r="L117" s="1681">
        <f t="shared" si="4"/>
        <v>0</v>
      </c>
      <c r="M117" s="1684"/>
      <c r="N117" s="1681">
        <f t="shared" si="5"/>
        <v>0</v>
      </c>
      <c r="O117" s="1681">
        <f t="shared" si="6"/>
        <v>0</v>
      </c>
      <c r="P117" s="1320"/>
    </row>
    <row r="118" spans="1:16">
      <c r="A118" s="394"/>
      <c r="B118" s="1639" t="str">
        <f t="shared" si="10"/>
        <v/>
      </c>
      <c r="C118" s="1675" t="str">
        <f>IF(D98="","-",+C117+1)</f>
        <v>-</v>
      </c>
      <c r="D118" s="1682">
        <f t="shared" si="7"/>
        <v>0</v>
      </c>
      <c r="E118" s="1683">
        <f>IF(+I101&lt;F117,I101,D118)</f>
        <v>0</v>
      </c>
      <c r="F118" s="1682">
        <f t="shared" si="2"/>
        <v>0</v>
      </c>
      <c r="G118" s="1683">
        <f t="shared" si="8"/>
        <v>0</v>
      </c>
      <c r="H118" s="1663">
        <f t="shared" si="9"/>
        <v>0</v>
      </c>
      <c r="I118" s="1678">
        <f t="shared" si="3"/>
        <v>0</v>
      </c>
      <c r="J118" s="1678"/>
      <c r="K118" s="1684"/>
      <c r="L118" s="1681">
        <f t="shared" si="4"/>
        <v>0</v>
      </c>
      <c r="M118" s="1684"/>
      <c r="N118" s="1681">
        <f t="shared" si="5"/>
        <v>0</v>
      </c>
      <c r="O118" s="1681">
        <f t="shared" si="6"/>
        <v>0</v>
      </c>
      <c r="P118" s="1320"/>
    </row>
    <row r="119" spans="1:16">
      <c r="A119" s="394"/>
      <c r="B119" s="1639" t="str">
        <f t="shared" si="10"/>
        <v/>
      </c>
      <c r="C119" s="1675" t="str">
        <f>IF(D98="","-",+C118+1)</f>
        <v>-</v>
      </c>
      <c r="D119" s="1682">
        <f t="shared" si="7"/>
        <v>0</v>
      </c>
      <c r="E119" s="1683">
        <f>IF(+I101&lt;F118,I101,D119)</f>
        <v>0</v>
      </c>
      <c r="F119" s="1682">
        <f t="shared" si="2"/>
        <v>0</v>
      </c>
      <c r="G119" s="1683">
        <f t="shared" si="8"/>
        <v>0</v>
      </c>
      <c r="H119" s="1663">
        <f t="shared" si="9"/>
        <v>0</v>
      </c>
      <c r="I119" s="1678">
        <f t="shared" si="3"/>
        <v>0</v>
      </c>
      <c r="J119" s="1678"/>
      <c r="K119" s="1684"/>
      <c r="L119" s="1681">
        <f t="shared" si="4"/>
        <v>0</v>
      </c>
      <c r="M119" s="1684"/>
      <c r="N119" s="1681">
        <f t="shared" si="5"/>
        <v>0</v>
      </c>
      <c r="O119" s="1681">
        <f t="shared" si="6"/>
        <v>0</v>
      </c>
      <c r="P119" s="1320"/>
    </row>
    <row r="120" spans="1:16">
      <c r="A120" s="394"/>
      <c r="B120" s="1639" t="str">
        <f t="shared" si="10"/>
        <v/>
      </c>
      <c r="C120" s="1675" t="str">
        <f>IF(D98="","-",+C119+1)</f>
        <v>-</v>
      </c>
      <c r="D120" s="1682">
        <f t="shared" si="7"/>
        <v>0</v>
      </c>
      <c r="E120" s="1683">
        <f>IF(+I101&lt;F119,I101,D120)</f>
        <v>0</v>
      </c>
      <c r="F120" s="1682">
        <f t="shared" si="2"/>
        <v>0</v>
      </c>
      <c r="G120" s="1683">
        <f t="shared" si="8"/>
        <v>0</v>
      </c>
      <c r="H120" s="1663">
        <f t="shared" si="9"/>
        <v>0</v>
      </c>
      <c r="I120" s="1678">
        <f t="shared" si="3"/>
        <v>0</v>
      </c>
      <c r="J120" s="1678"/>
      <c r="K120" s="1684"/>
      <c r="L120" s="1681">
        <f t="shared" si="4"/>
        <v>0</v>
      </c>
      <c r="M120" s="1684"/>
      <c r="N120" s="1681">
        <f t="shared" si="5"/>
        <v>0</v>
      </c>
      <c r="O120" s="1681">
        <f t="shared" si="6"/>
        <v>0</v>
      </c>
      <c r="P120" s="1320"/>
    </row>
    <row r="121" spans="1:16">
      <c r="A121" s="394"/>
      <c r="B121" s="1639" t="str">
        <f t="shared" si="10"/>
        <v/>
      </c>
      <c r="C121" s="1675" t="str">
        <f>IF(D98="","-",+C120+1)</f>
        <v>-</v>
      </c>
      <c r="D121" s="1682">
        <f t="shared" si="7"/>
        <v>0</v>
      </c>
      <c r="E121" s="1683">
        <f>IF(+I101&lt;F120,I101,D121)</f>
        <v>0</v>
      </c>
      <c r="F121" s="1682">
        <f t="shared" si="2"/>
        <v>0</v>
      </c>
      <c r="G121" s="1683">
        <f t="shared" si="8"/>
        <v>0</v>
      </c>
      <c r="H121" s="1663">
        <f t="shared" si="9"/>
        <v>0</v>
      </c>
      <c r="I121" s="1678">
        <f t="shared" si="3"/>
        <v>0</v>
      </c>
      <c r="J121" s="1678"/>
      <c r="K121" s="1684"/>
      <c r="L121" s="1681">
        <f t="shared" si="4"/>
        <v>0</v>
      </c>
      <c r="M121" s="1684"/>
      <c r="N121" s="1681">
        <f t="shared" si="5"/>
        <v>0</v>
      </c>
      <c r="O121" s="1681">
        <f t="shared" si="6"/>
        <v>0</v>
      </c>
      <c r="P121" s="1320"/>
    </row>
    <row r="122" spans="1:16">
      <c r="A122" s="394"/>
      <c r="B122" s="1639" t="str">
        <f t="shared" si="10"/>
        <v/>
      </c>
      <c r="C122" s="1675" t="str">
        <f>IF(D98="","-",+C121+1)</f>
        <v>-</v>
      </c>
      <c r="D122" s="1682">
        <f t="shared" si="7"/>
        <v>0</v>
      </c>
      <c r="E122" s="1683">
        <f>IF(+I101&lt;F121,I101,D122)</f>
        <v>0</v>
      </c>
      <c r="F122" s="1682">
        <f t="shared" si="2"/>
        <v>0</v>
      </c>
      <c r="G122" s="1683">
        <f t="shared" si="8"/>
        <v>0</v>
      </c>
      <c r="H122" s="1663">
        <f t="shared" si="9"/>
        <v>0</v>
      </c>
      <c r="I122" s="1678">
        <f t="shared" si="3"/>
        <v>0</v>
      </c>
      <c r="J122" s="1678"/>
      <c r="K122" s="1684"/>
      <c r="L122" s="1681">
        <f t="shared" si="4"/>
        <v>0</v>
      </c>
      <c r="M122" s="1684"/>
      <c r="N122" s="1681">
        <f t="shared" si="5"/>
        <v>0</v>
      </c>
      <c r="O122" s="1681">
        <f t="shared" si="6"/>
        <v>0</v>
      </c>
      <c r="P122" s="1320"/>
    </row>
    <row r="123" spans="1:16">
      <c r="A123" s="394"/>
      <c r="B123" s="1639" t="str">
        <f t="shared" si="10"/>
        <v/>
      </c>
      <c r="C123" s="1675" t="str">
        <f>IF(D98="","-",+C122+1)</f>
        <v>-</v>
      </c>
      <c r="D123" s="1682">
        <f t="shared" si="7"/>
        <v>0</v>
      </c>
      <c r="E123" s="1683">
        <f>IF(+I101&lt;F122,I101,D123)</f>
        <v>0</v>
      </c>
      <c r="F123" s="1682">
        <f t="shared" si="2"/>
        <v>0</v>
      </c>
      <c r="G123" s="1683">
        <f t="shared" si="8"/>
        <v>0</v>
      </c>
      <c r="H123" s="1663">
        <f t="shared" si="9"/>
        <v>0</v>
      </c>
      <c r="I123" s="1678">
        <f t="shared" si="3"/>
        <v>0</v>
      </c>
      <c r="J123" s="1678"/>
      <c r="K123" s="1684"/>
      <c r="L123" s="1681">
        <f t="shared" si="4"/>
        <v>0</v>
      </c>
      <c r="M123" s="1684"/>
      <c r="N123" s="1681">
        <f t="shared" si="5"/>
        <v>0</v>
      </c>
      <c r="O123" s="1681">
        <f t="shared" si="6"/>
        <v>0</v>
      </c>
      <c r="P123" s="1320"/>
    </row>
    <row r="124" spans="1:16">
      <c r="A124" s="394"/>
      <c r="B124" s="1639" t="str">
        <f t="shared" si="10"/>
        <v/>
      </c>
      <c r="C124" s="1675" t="str">
        <f>IF(D98="","-",+C123+1)</f>
        <v>-</v>
      </c>
      <c r="D124" s="1682">
        <f t="shared" si="7"/>
        <v>0</v>
      </c>
      <c r="E124" s="1683">
        <f>IF(+I101&lt;F123,I101,D124)</f>
        <v>0</v>
      </c>
      <c r="F124" s="1682">
        <f t="shared" si="2"/>
        <v>0</v>
      </c>
      <c r="G124" s="1683">
        <f t="shared" si="8"/>
        <v>0</v>
      </c>
      <c r="H124" s="1663">
        <f t="shared" si="9"/>
        <v>0</v>
      </c>
      <c r="I124" s="1678">
        <f t="shared" si="3"/>
        <v>0</v>
      </c>
      <c r="J124" s="1678"/>
      <c r="K124" s="1684"/>
      <c r="L124" s="1681">
        <f t="shared" si="4"/>
        <v>0</v>
      </c>
      <c r="M124" s="1684"/>
      <c r="N124" s="1681">
        <f t="shared" si="5"/>
        <v>0</v>
      </c>
      <c r="O124" s="1681">
        <f t="shared" si="6"/>
        <v>0</v>
      </c>
      <c r="P124" s="1320"/>
    </row>
    <row r="125" spans="1:16">
      <c r="A125" s="394"/>
      <c r="B125" s="1639" t="str">
        <f t="shared" si="10"/>
        <v/>
      </c>
      <c r="C125" s="1675" t="str">
        <f>IF(D98="","-",+C124+1)</f>
        <v>-</v>
      </c>
      <c r="D125" s="1682">
        <f t="shared" si="7"/>
        <v>0</v>
      </c>
      <c r="E125" s="1683">
        <f>IF(+I101&lt;F124,I101,D125)</f>
        <v>0</v>
      </c>
      <c r="F125" s="1682">
        <f t="shared" si="2"/>
        <v>0</v>
      </c>
      <c r="G125" s="1683">
        <f t="shared" si="8"/>
        <v>0</v>
      </c>
      <c r="H125" s="1663">
        <f t="shared" si="9"/>
        <v>0</v>
      </c>
      <c r="I125" s="1678">
        <f t="shared" si="3"/>
        <v>0</v>
      </c>
      <c r="J125" s="1678"/>
      <c r="K125" s="1684"/>
      <c r="L125" s="1681">
        <f t="shared" si="4"/>
        <v>0</v>
      </c>
      <c r="M125" s="1684"/>
      <c r="N125" s="1681">
        <f t="shared" si="5"/>
        <v>0</v>
      </c>
      <c r="O125" s="1681">
        <f t="shared" si="6"/>
        <v>0</v>
      </c>
      <c r="P125" s="1320"/>
    </row>
    <row r="126" spans="1:16">
      <c r="A126" s="394"/>
      <c r="B126" s="1639" t="str">
        <f t="shared" si="10"/>
        <v/>
      </c>
      <c r="C126" s="1675" t="str">
        <f>IF(D98="","-",+C125+1)</f>
        <v>-</v>
      </c>
      <c r="D126" s="1682">
        <f t="shared" si="7"/>
        <v>0</v>
      </c>
      <c r="E126" s="1683">
        <f>IF(+I101&lt;F125,I101,D126)</f>
        <v>0</v>
      </c>
      <c r="F126" s="1682">
        <f t="shared" si="2"/>
        <v>0</v>
      </c>
      <c r="G126" s="1683">
        <f t="shared" si="8"/>
        <v>0</v>
      </c>
      <c r="H126" s="1663">
        <f t="shared" si="9"/>
        <v>0</v>
      </c>
      <c r="I126" s="1678">
        <f t="shared" si="3"/>
        <v>0</v>
      </c>
      <c r="J126" s="1678"/>
      <c r="K126" s="1684"/>
      <c r="L126" s="1681">
        <f t="shared" si="4"/>
        <v>0</v>
      </c>
      <c r="M126" s="1684"/>
      <c r="N126" s="1681">
        <f t="shared" si="5"/>
        <v>0</v>
      </c>
      <c r="O126" s="1681">
        <f t="shared" si="6"/>
        <v>0</v>
      </c>
      <c r="P126" s="1320"/>
    </row>
    <row r="127" spans="1:16">
      <c r="A127" s="394"/>
      <c r="B127" s="1639" t="str">
        <f t="shared" si="10"/>
        <v/>
      </c>
      <c r="C127" s="1675" t="str">
        <f>IF(D98="","-",+C126+1)</f>
        <v>-</v>
      </c>
      <c r="D127" s="1682">
        <f t="shared" si="7"/>
        <v>0</v>
      </c>
      <c r="E127" s="1683">
        <f>IF(+I101&lt;F126,I101,D127)</f>
        <v>0</v>
      </c>
      <c r="F127" s="1682">
        <f t="shared" si="2"/>
        <v>0</v>
      </c>
      <c r="G127" s="1683">
        <f t="shared" si="8"/>
        <v>0</v>
      </c>
      <c r="H127" s="1663">
        <f t="shared" si="9"/>
        <v>0</v>
      </c>
      <c r="I127" s="1678">
        <f t="shared" si="3"/>
        <v>0</v>
      </c>
      <c r="J127" s="1678"/>
      <c r="K127" s="1684"/>
      <c r="L127" s="1681">
        <f t="shared" si="4"/>
        <v>0</v>
      </c>
      <c r="M127" s="1684"/>
      <c r="N127" s="1681">
        <f t="shared" si="5"/>
        <v>0</v>
      </c>
      <c r="O127" s="1681">
        <f t="shared" si="6"/>
        <v>0</v>
      </c>
      <c r="P127" s="1320"/>
    </row>
    <row r="128" spans="1:16">
      <c r="A128" s="394"/>
      <c r="B128" s="1639" t="str">
        <f t="shared" si="10"/>
        <v/>
      </c>
      <c r="C128" s="1675" t="str">
        <f>IF(D98="","-",+C127+1)</f>
        <v>-</v>
      </c>
      <c r="D128" s="1682">
        <f t="shared" si="7"/>
        <v>0</v>
      </c>
      <c r="E128" s="1683">
        <f>IF(+I101&lt;F127,I101,D128)</f>
        <v>0</v>
      </c>
      <c r="F128" s="1682">
        <f t="shared" si="2"/>
        <v>0</v>
      </c>
      <c r="G128" s="1683">
        <f t="shared" si="8"/>
        <v>0</v>
      </c>
      <c r="H128" s="1663">
        <f t="shared" si="9"/>
        <v>0</v>
      </c>
      <c r="I128" s="1678">
        <f t="shared" si="3"/>
        <v>0</v>
      </c>
      <c r="J128" s="1678"/>
      <c r="K128" s="1684"/>
      <c r="L128" s="1681">
        <f t="shared" si="4"/>
        <v>0</v>
      </c>
      <c r="M128" s="1684"/>
      <c r="N128" s="1681">
        <f t="shared" si="5"/>
        <v>0</v>
      </c>
      <c r="O128" s="1681">
        <f t="shared" si="6"/>
        <v>0</v>
      </c>
      <c r="P128" s="1320"/>
    </row>
    <row r="129" spans="1:16">
      <c r="A129" s="394"/>
      <c r="B129" s="1639" t="str">
        <f t="shared" si="10"/>
        <v/>
      </c>
      <c r="C129" s="1675" t="str">
        <f>IF(D98="","-",+C128+1)</f>
        <v>-</v>
      </c>
      <c r="D129" s="1682">
        <f t="shared" si="7"/>
        <v>0</v>
      </c>
      <c r="E129" s="1683">
        <f>IF(+I101&lt;F128,I101,D129)</f>
        <v>0</v>
      </c>
      <c r="F129" s="1682">
        <f t="shared" si="2"/>
        <v>0</v>
      </c>
      <c r="G129" s="1683">
        <f t="shared" si="8"/>
        <v>0</v>
      </c>
      <c r="H129" s="1663">
        <f t="shared" si="9"/>
        <v>0</v>
      </c>
      <c r="I129" s="1678">
        <f t="shared" si="3"/>
        <v>0</v>
      </c>
      <c r="J129" s="1678"/>
      <c r="K129" s="1684"/>
      <c r="L129" s="1681">
        <f t="shared" si="4"/>
        <v>0</v>
      </c>
      <c r="M129" s="1684"/>
      <c r="N129" s="1681">
        <f t="shared" si="5"/>
        <v>0</v>
      </c>
      <c r="O129" s="1681">
        <f t="shared" si="6"/>
        <v>0</v>
      </c>
      <c r="P129" s="1320"/>
    </row>
    <row r="130" spans="1:16">
      <c r="A130" s="394"/>
      <c r="B130" s="1639" t="str">
        <f t="shared" si="10"/>
        <v/>
      </c>
      <c r="C130" s="1675" t="str">
        <f>IF(D98="","-",+C129+1)</f>
        <v>-</v>
      </c>
      <c r="D130" s="1682">
        <f t="shared" si="7"/>
        <v>0</v>
      </c>
      <c r="E130" s="1683">
        <f>IF(+I101&lt;F129,I101,D130)</f>
        <v>0</v>
      </c>
      <c r="F130" s="1682">
        <f t="shared" si="2"/>
        <v>0</v>
      </c>
      <c r="G130" s="1683">
        <f t="shared" si="8"/>
        <v>0</v>
      </c>
      <c r="H130" s="1663">
        <f t="shared" si="9"/>
        <v>0</v>
      </c>
      <c r="I130" s="1678">
        <f t="shared" si="3"/>
        <v>0</v>
      </c>
      <c r="J130" s="1678"/>
      <c r="K130" s="1684"/>
      <c r="L130" s="1681">
        <f t="shared" si="4"/>
        <v>0</v>
      </c>
      <c r="M130" s="1684"/>
      <c r="N130" s="1681">
        <f t="shared" si="5"/>
        <v>0</v>
      </c>
      <c r="O130" s="1681">
        <f t="shared" si="6"/>
        <v>0</v>
      </c>
      <c r="P130" s="1320"/>
    </row>
    <row r="131" spans="1:16">
      <c r="A131" s="394"/>
      <c r="B131" s="1639" t="str">
        <f t="shared" si="10"/>
        <v/>
      </c>
      <c r="C131" s="1675" t="str">
        <f>IF(D98="","-",+C130+1)</f>
        <v>-</v>
      </c>
      <c r="D131" s="1682">
        <f t="shared" si="7"/>
        <v>0</v>
      </c>
      <c r="E131" s="1683">
        <f>IF(+I101&lt;F130,I101,D131)</f>
        <v>0</v>
      </c>
      <c r="F131" s="1682">
        <f t="shared" si="2"/>
        <v>0</v>
      </c>
      <c r="G131" s="1683">
        <f t="shared" si="8"/>
        <v>0</v>
      </c>
      <c r="H131" s="1663">
        <f t="shared" si="9"/>
        <v>0</v>
      </c>
      <c r="I131" s="1678">
        <f t="shared" si="3"/>
        <v>0</v>
      </c>
      <c r="J131" s="1678"/>
      <c r="K131" s="1684"/>
      <c r="L131" s="1681">
        <f t="shared" si="4"/>
        <v>0</v>
      </c>
      <c r="M131" s="1684"/>
      <c r="N131" s="1681">
        <f t="shared" si="5"/>
        <v>0</v>
      </c>
      <c r="O131" s="1681">
        <f t="shared" si="6"/>
        <v>0</v>
      </c>
      <c r="P131" s="1320"/>
    </row>
    <row r="132" spans="1:16">
      <c r="A132" s="394"/>
      <c r="B132" s="1639" t="str">
        <f t="shared" si="10"/>
        <v/>
      </c>
      <c r="C132" s="1675" t="str">
        <f>IF(D98="","-",+C131+1)</f>
        <v>-</v>
      </c>
      <c r="D132" s="1682">
        <f t="shared" si="7"/>
        <v>0</v>
      </c>
      <c r="E132" s="1683">
        <f>IF(+I101&lt;F131,I101,D132)</f>
        <v>0</v>
      </c>
      <c r="F132" s="1682">
        <f t="shared" si="2"/>
        <v>0</v>
      </c>
      <c r="G132" s="1683">
        <f t="shared" si="8"/>
        <v>0</v>
      </c>
      <c r="H132" s="1663">
        <f t="shared" si="9"/>
        <v>0</v>
      </c>
      <c r="I132" s="1678">
        <f t="shared" si="3"/>
        <v>0</v>
      </c>
      <c r="J132" s="1678"/>
      <c r="K132" s="1684"/>
      <c r="L132" s="1681">
        <f t="shared" si="4"/>
        <v>0</v>
      </c>
      <c r="M132" s="1684"/>
      <c r="N132" s="1681">
        <f t="shared" si="5"/>
        <v>0</v>
      </c>
      <c r="O132" s="1681">
        <f t="shared" si="6"/>
        <v>0</v>
      </c>
      <c r="P132" s="1320"/>
    </row>
    <row r="133" spans="1:16">
      <c r="A133" s="394"/>
      <c r="B133" s="1639" t="str">
        <f t="shared" si="10"/>
        <v/>
      </c>
      <c r="C133" s="1675" t="str">
        <f>IF(D98="","-",+C132+1)</f>
        <v>-</v>
      </c>
      <c r="D133" s="1682">
        <f t="shared" si="7"/>
        <v>0</v>
      </c>
      <c r="E133" s="1683">
        <f>IF(+I101&lt;F132,I101,D133)</f>
        <v>0</v>
      </c>
      <c r="F133" s="1682">
        <f t="shared" si="2"/>
        <v>0</v>
      </c>
      <c r="G133" s="1683">
        <f t="shared" si="8"/>
        <v>0</v>
      </c>
      <c r="H133" s="1663">
        <f t="shared" si="9"/>
        <v>0</v>
      </c>
      <c r="I133" s="1678">
        <f t="shared" si="3"/>
        <v>0</v>
      </c>
      <c r="J133" s="1678"/>
      <c r="K133" s="1684"/>
      <c r="L133" s="1681">
        <f t="shared" si="4"/>
        <v>0</v>
      </c>
      <c r="M133" s="1684"/>
      <c r="N133" s="1681">
        <f t="shared" si="5"/>
        <v>0</v>
      </c>
      <c r="O133" s="1681">
        <f t="shared" si="6"/>
        <v>0</v>
      </c>
      <c r="P133" s="1320"/>
    </row>
    <row r="134" spans="1:16">
      <c r="A134" s="394"/>
      <c r="B134" s="1639" t="str">
        <f t="shared" si="10"/>
        <v/>
      </c>
      <c r="C134" s="1675" t="str">
        <f>IF(D98="","-",+C133+1)</f>
        <v>-</v>
      </c>
      <c r="D134" s="1682">
        <f t="shared" si="7"/>
        <v>0</v>
      </c>
      <c r="E134" s="1683">
        <f>IF(+I101&lt;F133,I101,D134)</f>
        <v>0</v>
      </c>
      <c r="F134" s="1682">
        <f t="shared" si="2"/>
        <v>0</v>
      </c>
      <c r="G134" s="1683">
        <f t="shared" si="8"/>
        <v>0</v>
      </c>
      <c r="H134" s="1663">
        <f t="shared" si="9"/>
        <v>0</v>
      </c>
      <c r="I134" s="1678">
        <f t="shared" si="3"/>
        <v>0</v>
      </c>
      <c r="J134" s="1678"/>
      <c r="K134" s="1684"/>
      <c r="L134" s="1681">
        <f t="shared" si="4"/>
        <v>0</v>
      </c>
      <c r="M134" s="1684"/>
      <c r="N134" s="1681">
        <f t="shared" si="5"/>
        <v>0</v>
      </c>
      <c r="O134" s="1681">
        <f t="shared" si="6"/>
        <v>0</v>
      </c>
      <c r="P134" s="1320"/>
    </row>
    <row r="135" spans="1:16">
      <c r="A135" s="394"/>
      <c r="B135" s="1639" t="str">
        <f t="shared" si="10"/>
        <v/>
      </c>
      <c r="C135" s="1675" t="str">
        <f>IF(D98="","-",+C134+1)</f>
        <v>-</v>
      </c>
      <c r="D135" s="1682">
        <f t="shared" si="7"/>
        <v>0</v>
      </c>
      <c r="E135" s="1683">
        <f>IF(+I101&lt;F134,I101,D135)</f>
        <v>0</v>
      </c>
      <c r="F135" s="1682">
        <f t="shared" si="2"/>
        <v>0</v>
      </c>
      <c r="G135" s="1683">
        <f t="shared" si="8"/>
        <v>0</v>
      </c>
      <c r="H135" s="1663">
        <f t="shared" si="9"/>
        <v>0</v>
      </c>
      <c r="I135" s="1678">
        <f t="shared" si="3"/>
        <v>0</v>
      </c>
      <c r="J135" s="1678"/>
      <c r="K135" s="1684"/>
      <c r="L135" s="1681">
        <f t="shared" si="4"/>
        <v>0</v>
      </c>
      <c r="M135" s="1684"/>
      <c r="N135" s="1681">
        <f t="shared" si="5"/>
        <v>0</v>
      </c>
      <c r="O135" s="1681">
        <f t="shared" si="6"/>
        <v>0</v>
      </c>
      <c r="P135" s="1320"/>
    </row>
    <row r="136" spans="1:16">
      <c r="A136" s="394"/>
      <c r="B136" s="1639" t="str">
        <f t="shared" si="10"/>
        <v/>
      </c>
      <c r="C136" s="1675" t="str">
        <f>IF(D98="","-",+C135+1)</f>
        <v>-</v>
      </c>
      <c r="D136" s="1682">
        <f t="shared" si="7"/>
        <v>0</v>
      </c>
      <c r="E136" s="1683">
        <f>IF(+I101&lt;F135,I101,D136)</f>
        <v>0</v>
      </c>
      <c r="F136" s="1682">
        <f t="shared" si="2"/>
        <v>0</v>
      </c>
      <c r="G136" s="1683">
        <f t="shared" si="8"/>
        <v>0</v>
      </c>
      <c r="H136" s="1663">
        <f t="shared" si="9"/>
        <v>0</v>
      </c>
      <c r="I136" s="1678">
        <f t="shared" si="3"/>
        <v>0</v>
      </c>
      <c r="J136" s="1678"/>
      <c r="K136" s="1684"/>
      <c r="L136" s="1681">
        <f t="shared" si="4"/>
        <v>0</v>
      </c>
      <c r="M136" s="1684"/>
      <c r="N136" s="1681">
        <f t="shared" si="5"/>
        <v>0</v>
      </c>
      <c r="O136" s="1681">
        <f t="shared" si="6"/>
        <v>0</v>
      </c>
      <c r="P136" s="1320"/>
    </row>
    <row r="137" spans="1:16">
      <c r="A137" s="394"/>
      <c r="B137" s="1639" t="str">
        <f t="shared" si="10"/>
        <v/>
      </c>
      <c r="C137" s="1675" t="str">
        <f>IF(D98="","-",+C136+1)</f>
        <v>-</v>
      </c>
      <c r="D137" s="1682">
        <f t="shared" si="7"/>
        <v>0</v>
      </c>
      <c r="E137" s="1683">
        <f>IF(+I101&lt;F136,I101,D137)</f>
        <v>0</v>
      </c>
      <c r="F137" s="1682">
        <f t="shared" si="2"/>
        <v>0</v>
      </c>
      <c r="G137" s="1683">
        <f t="shared" si="8"/>
        <v>0</v>
      </c>
      <c r="H137" s="1663">
        <f t="shared" si="9"/>
        <v>0</v>
      </c>
      <c r="I137" s="1678">
        <f t="shared" si="3"/>
        <v>0</v>
      </c>
      <c r="J137" s="1678"/>
      <c r="K137" s="1684"/>
      <c r="L137" s="1681">
        <f t="shared" si="4"/>
        <v>0</v>
      </c>
      <c r="M137" s="1684"/>
      <c r="N137" s="1681">
        <f t="shared" si="5"/>
        <v>0</v>
      </c>
      <c r="O137" s="1681">
        <f t="shared" si="6"/>
        <v>0</v>
      </c>
      <c r="P137" s="1320"/>
    </row>
    <row r="138" spans="1:16">
      <c r="A138" s="394"/>
      <c r="B138" s="1639" t="str">
        <f t="shared" si="10"/>
        <v/>
      </c>
      <c r="C138" s="1675" t="str">
        <f>IF(D98="","-",+C137+1)</f>
        <v>-</v>
      </c>
      <c r="D138" s="1682">
        <f t="shared" si="7"/>
        <v>0</v>
      </c>
      <c r="E138" s="1683">
        <f>IF(+I101&lt;F137,I101,D138)</f>
        <v>0</v>
      </c>
      <c r="F138" s="1682">
        <f t="shared" si="2"/>
        <v>0</v>
      </c>
      <c r="G138" s="1683">
        <f t="shared" si="8"/>
        <v>0</v>
      </c>
      <c r="H138" s="1663">
        <f t="shared" si="9"/>
        <v>0</v>
      </c>
      <c r="I138" s="1678">
        <f t="shared" si="3"/>
        <v>0</v>
      </c>
      <c r="J138" s="1678"/>
      <c r="K138" s="1684"/>
      <c r="L138" s="1681">
        <f t="shared" si="4"/>
        <v>0</v>
      </c>
      <c r="M138" s="1684"/>
      <c r="N138" s="1681">
        <f t="shared" si="5"/>
        <v>0</v>
      </c>
      <c r="O138" s="1681">
        <f t="shared" si="6"/>
        <v>0</v>
      </c>
      <c r="P138" s="1320"/>
    </row>
    <row r="139" spans="1:16">
      <c r="A139" s="394"/>
      <c r="B139" s="1639" t="str">
        <f t="shared" si="10"/>
        <v/>
      </c>
      <c r="C139" s="1675" t="str">
        <f>IF(D98="","-",+C138+1)</f>
        <v>-</v>
      </c>
      <c r="D139" s="1682">
        <f t="shared" si="7"/>
        <v>0</v>
      </c>
      <c r="E139" s="1683">
        <f>IF(+I101&lt;F138,I101,D139)</f>
        <v>0</v>
      </c>
      <c r="F139" s="1682">
        <f t="shared" si="2"/>
        <v>0</v>
      </c>
      <c r="G139" s="1683">
        <f t="shared" si="8"/>
        <v>0</v>
      </c>
      <c r="H139" s="1663">
        <f t="shared" si="9"/>
        <v>0</v>
      </c>
      <c r="I139" s="1678">
        <f t="shared" si="3"/>
        <v>0</v>
      </c>
      <c r="J139" s="1678"/>
      <c r="K139" s="1684"/>
      <c r="L139" s="1681">
        <f t="shared" si="4"/>
        <v>0</v>
      </c>
      <c r="M139" s="1684"/>
      <c r="N139" s="1681">
        <f t="shared" si="5"/>
        <v>0</v>
      </c>
      <c r="O139" s="1681">
        <f t="shared" si="6"/>
        <v>0</v>
      </c>
      <c r="P139" s="1320"/>
    </row>
    <row r="140" spans="1:16">
      <c r="A140" s="394"/>
      <c r="B140" s="1639" t="str">
        <f t="shared" si="10"/>
        <v/>
      </c>
      <c r="C140" s="1675" t="str">
        <f>IF(D98="","-",+C139+1)</f>
        <v>-</v>
      </c>
      <c r="D140" s="1682">
        <f t="shared" si="7"/>
        <v>0</v>
      </c>
      <c r="E140" s="1683">
        <f>IF(+I101&lt;F139,I101,D140)</f>
        <v>0</v>
      </c>
      <c r="F140" s="1682">
        <f t="shared" si="2"/>
        <v>0</v>
      </c>
      <c r="G140" s="1683">
        <f t="shared" si="8"/>
        <v>0</v>
      </c>
      <c r="H140" s="1663">
        <f t="shared" si="9"/>
        <v>0</v>
      </c>
      <c r="I140" s="1678">
        <f t="shared" si="3"/>
        <v>0</v>
      </c>
      <c r="J140" s="1678"/>
      <c r="K140" s="1684"/>
      <c r="L140" s="1681">
        <f t="shared" si="4"/>
        <v>0</v>
      </c>
      <c r="M140" s="1684"/>
      <c r="N140" s="1681">
        <f t="shared" si="5"/>
        <v>0</v>
      </c>
      <c r="O140" s="1681">
        <f t="shared" si="6"/>
        <v>0</v>
      </c>
      <c r="P140" s="1320"/>
    </row>
    <row r="141" spans="1:16">
      <c r="A141" s="394"/>
      <c r="B141" s="1639" t="str">
        <f t="shared" si="10"/>
        <v/>
      </c>
      <c r="C141" s="1675" t="str">
        <f>IF(D98="","-",+C140+1)</f>
        <v>-</v>
      </c>
      <c r="D141" s="1682">
        <f t="shared" si="7"/>
        <v>0</v>
      </c>
      <c r="E141" s="1683">
        <f>IF(+I101&lt;F140,I101,D141)</f>
        <v>0</v>
      </c>
      <c r="F141" s="1682">
        <f t="shared" si="2"/>
        <v>0</v>
      </c>
      <c r="G141" s="1683">
        <f t="shared" si="8"/>
        <v>0</v>
      </c>
      <c r="H141" s="1663">
        <f t="shared" si="9"/>
        <v>0</v>
      </c>
      <c r="I141" s="1678">
        <f t="shared" si="3"/>
        <v>0</v>
      </c>
      <c r="J141" s="1678"/>
      <c r="K141" s="1684"/>
      <c r="L141" s="1681">
        <f t="shared" si="4"/>
        <v>0</v>
      </c>
      <c r="M141" s="1684"/>
      <c r="N141" s="1681">
        <f t="shared" si="5"/>
        <v>0</v>
      </c>
      <c r="O141" s="1681">
        <f t="shared" si="6"/>
        <v>0</v>
      </c>
      <c r="P141" s="1320"/>
    </row>
    <row r="142" spans="1:16">
      <c r="A142" s="394"/>
      <c r="B142" s="1639" t="str">
        <f t="shared" si="10"/>
        <v/>
      </c>
      <c r="C142" s="1675" t="str">
        <f>IF(D98="","-",+C141+1)</f>
        <v>-</v>
      </c>
      <c r="D142" s="1682">
        <f t="shared" si="7"/>
        <v>0</v>
      </c>
      <c r="E142" s="1683">
        <f>IF(+I101&lt;F141,I101,D142)</f>
        <v>0</v>
      </c>
      <c r="F142" s="1682">
        <f t="shared" si="2"/>
        <v>0</v>
      </c>
      <c r="G142" s="1683">
        <f t="shared" si="8"/>
        <v>0</v>
      </c>
      <c r="H142" s="1663">
        <f t="shared" si="9"/>
        <v>0</v>
      </c>
      <c r="I142" s="1678">
        <f t="shared" si="3"/>
        <v>0</v>
      </c>
      <c r="J142" s="1678"/>
      <c r="K142" s="1684"/>
      <c r="L142" s="1681">
        <f t="shared" si="4"/>
        <v>0</v>
      </c>
      <c r="M142" s="1684"/>
      <c r="N142" s="1681">
        <f t="shared" si="5"/>
        <v>0</v>
      </c>
      <c r="O142" s="1681">
        <f t="shared" si="6"/>
        <v>0</v>
      </c>
      <c r="P142" s="1320"/>
    </row>
    <row r="143" spans="1:16">
      <c r="A143" s="394"/>
      <c r="B143" s="1639" t="str">
        <f t="shared" si="10"/>
        <v/>
      </c>
      <c r="C143" s="1675" t="str">
        <f>IF(D98="","-",+C142+1)</f>
        <v>-</v>
      </c>
      <c r="D143" s="1682">
        <f t="shared" si="7"/>
        <v>0</v>
      </c>
      <c r="E143" s="1683">
        <f>IF(+I101&lt;F142,I101,D143)</f>
        <v>0</v>
      </c>
      <c r="F143" s="1682">
        <f t="shared" si="2"/>
        <v>0</v>
      </c>
      <c r="G143" s="1683">
        <f t="shared" si="8"/>
        <v>0</v>
      </c>
      <c r="H143" s="1663">
        <f t="shared" si="9"/>
        <v>0</v>
      </c>
      <c r="I143" s="1678">
        <f t="shared" si="3"/>
        <v>0</v>
      </c>
      <c r="J143" s="1678"/>
      <c r="K143" s="1684"/>
      <c r="L143" s="1681">
        <f t="shared" si="4"/>
        <v>0</v>
      </c>
      <c r="M143" s="1684"/>
      <c r="N143" s="1681">
        <f t="shared" si="5"/>
        <v>0</v>
      </c>
      <c r="O143" s="1681">
        <f t="shared" si="6"/>
        <v>0</v>
      </c>
      <c r="P143" s="1320"/>
    </row>
    <row r="144" spans="1:16">
      <c r="A144" s="394"/>
      <c r="B144" s="1639" t="str">
        <f t="shared" si="10"/>
        <v/>
      </c>
      <c r="C144" s="1675" t="str">
        <f>IF(D98="","-",+C143+1)</f>
        <v>-</v>
      </c>
      <c r="D144" s="1682">
        <f t="shared" si="7"/>
        <v>0</v>
      </c>
      <c r="E144" s="1683">
        <f>IF(+I101&lt;F143,I101,D144)</f>
        <v>0</v>
      </c>
      <c r="F144" s="1682">
        <f t="shared" si="2"/>
        <v>0</v>
      </c>
      <c r="G144" s="1683">
        <f t="shared" si="8"/>
        <v>0</v>
      </c>
      <c r="H144" s="1663">
        <f t="shared" si="9"/>
        <v>0</v>
      </c>
      <c r="I144" s="1678">
        <f t="shared" si="3"/>
        <v>0</v>
      </c>
      <c r="J144" s="1678"/>
      <c r="K144" s="1684"/>
      <c r="L144" s="1681">
        <f t="shared" si="4"/>
        <v>0</v>
      </c>
      <c r="M144" s="1684"/>
      <c r="N144" s="1681">
        <f t="shared" si="5"/>
        <v>0</v>
      </c>
      <c r="O144" s="1681">
        <f t="shared" si="6"/>
        <v>0</v>
      </c>
      <c r="P144" s="1320"/>
    </row>
    <row r="145" spans="1:16">
      <c r="A145" s="394"/>
      <c r="B145" s="1639" t="str">
        <f t="shared" si="10"/>
        <v/>
      </c>
      <c r="C145" s="1675" t="str">
        <f>IF(D98="","-",+C144+1)</f>
        <v>-</v>
      </c>
      <c r="D145" s="1682">
        <f t="shared" si="7"/>
        <v>0</v>
      </c>
      <c r="E145" s="1683">
        <f>IF(+I101&lt;F144,I101,D145)</f>
        <v>0</v>
      </c>
      <c r="F145" s="1682">
        <f t="shared" si="2"/>
        <v>0</v>
      </c>
      <c r="G145" s="1683">
        <f t="shared" si="8"/>
        <v>0</v>
      </c>
      <c r="H145" s="1663">
        <f t="shared" si="9"/>
        <v>0</v>
      </c>
      <c r="I145" s="1678">
        <f t="shared" si="3"/>
        <v>0</v>
      </c>
      <c r="J145" s="1678"/>
      <c r="K145" s="1684"/>
      <c r="L145" s="1681">
        <f t="shared" si="4"/>
        <v>0</v>
      </c>
      <c r="M145" s="1684"/>
      <c r="N145" s="1681">
        <f t="shared" si="5"/>
        <v>0</v>
      </c>
      <c r="O145" s="1681">
        <f t="shared" si="6"/>
        <v>0</v>
      </c>
      <c r="P145" s="1320"/>
    </row>
    <row r="146" spans="1:16">
      <c r="A146" s="394"/>
      <c r="B146" s="1639" t="str">
        <f t="shared" si="10"/>
        <v/>
      </c>
      <c r="C146" s="1675" t="str">
        <f>IF(D98="","-",+C145+1)</f>
        <v>-</v>
      </c>
      <c r="D146" s="1682">
        <f t="shared" si="7"/>
        <v>0</v>
      </c>
      <c r="E146" s="1683">
        <f>IF(+I101&lt;F145,I101,D146)</f>
        <v>0</v>
      </c>
      <c r="F146" s="1682">
        <f t="shared" si="2"/>
        <v>0</v>
      </c>
      <c r="G146" s="1683">
        <f t="shared" si="8"/>
        <v>0</v>
      </c>
      <c r="H146" s="1663">
        <f t="shared" si="9"/>
        <v>0</v>
      </c>
      <c r="I146" s="1678">
        <f t="shared" si="3"/>
        <v>0</v>
      </c>
      <c r="J146" s="1678"/>
      <c r="K146" s="1684"/>
      <c r="L146" s="1681">
        <f t="shared" si="4"/>
        <v>0</v>
      </c>
      <c r="M146" s="1684"/>
      <c r="N146" s="1681">
        <f t="shared" si="5"/>
        <v>0</v>
      </c>
      <c r="O146" s="1681">
        <f t="shared" si="6"/>
        <v>0</v>
      </c>
      <c r="P146" s="1320"/>
    </row>
    <row r="147" spans="1:16">
      <c r="A147" s="394"/>
      <c r="B147" s="1639" t="str">
        <f t="shared" si="10"/>
        <v/>
      </c>
      <c r="C147" s="1675" t="str">
        <f>IF(D98="","-",+C146+1)</f>
        <v>-</v>
      </c>
      <c r="D147" s="1682">
        <f t="shared" si="7"/>
        <v>0</v>
      </c>
      <c r="E147" s="1683">
        <f>IF(+I101&lt;F146,I101,D147)</f>
        <v>0</v>
      </c>
      <c r="F147" s="1682">
        <f t="shared" si="2"/>
        <v>0</v>
      </c>
      <c r="G147" s="1683">
        <f t="shared" si="8"/>
        <v>0</v>
      </c>
      <c r="H147" s="1663">
        <f t="shared" si="9"/>
        <v>0</v>
      </c>
      <c r="I147" s="1678">
        <f t="shared" si="3"/>
        <v>0</v>
      </c>
      <c r="J147" s="1678"/>
      <c r="K147" s="1684"/>
      <c r="L147" s="1681">
        <f t="shared" si="4"/>
        <v>0</v>
      </c>
      <c r="M147" s="1684"/>
      <c r="N147" s="1681">
        <f t="shared" si="5"/>
        <v>0</v>
      </c>
      <c r="O147" s="1681">
        <f t="shared" si="6"/>
        <v>0</v>
      </c>
      <c r="P147" s="1320"/>
    </row>
    <row r="148" spans="1:16">
      <c r="A148" s="394"/>
      <c r="B148" s="1639" t="str">
        <f t="shared" si="10"/>
        <v/>
      </c>
      <c r="C148" s="1675" t="str">
        <f>IF(D98="","-",+C147+1)</f>
        <v>-</v>
      </c>
      <c r="D148" s="1682">
        <f t="shared" si="7"/>
        <v>0</v>
      </c>
      <c r="E148" s="1683">
        <f>IF(+I101&lt;F147,I101,D148)</f>
        <v>0</v>
      </c>
      <c r="F148" s="1682">
        <f t="shared" si="2"/>
        <v>0</v>
      </c>
      <c r="G148" s="1686">
        <f t="shared" si="8"/>
        <v>0</v>
      </c>
      <c r="H148" s="1663">
        <f t="shared" si="9"/>
        <v>0</v>
      </c>
      <c r="I148" s="1678">
        <f t="shared" si="3"/>
        <v>0</v>
      </c>
      <c r="J148" s="1678"/>
      <c r="K148" s="1684"/>
      <c r="L148" s="1681">
        <f t="shared" si="4"/>
        <v>0</v>
      </c>
      <c r="M148" s="1684"/>
      <c r="N148" s="1681">
        <f t="shared" si="5"/>
        <v>0</v>
      </c>
      <c r="O148" s="1681">
        <f t="shared" si="6"/>
        <v>0</v>
      </c>
      <c r="P148" s="1320"/>
    </row>
    <row r="149" spans="1:16">
      <c r="A149" s="394"/>
      <c r="B149" s="1639" t="str">
        <f t="shared" si="10"/>
        <v/>
      </c>
      <c r="C149" s="1675" t="str">
        <f>IF(D98="","-",+C148+1)</f>
        <v>-</v>
      </c>
      <c r="D149" s="1682">
        <f t="shared" si="7"/>
        <v>0</v>
      </c>
      <c r="E149" s="1683">
        <f>IF(+I101&lt;F148,I101,D149)</f>
        <v>0</v>
      </c>
      <c r="F149" s="1682">
        <f t="shared" si="2"/>
        <v>0</v>
      </c>
      <c r="G149" s="1686">
        <f t="shared" si="8"/>
        <v>0</v>
      </c>
      <c r="H149" s="1663">
        <f t="shared" si="9"/>
        <v>0</v>
      </c>
      <c r="I149" s="1678">
        <f t="shared" si="3"/>
        <v>0</v>
      </c>
      <c r="J149" s="1678"/>
      <c r="K149" s="1684"/>
      <c r="L149" s="1681">
        <f t="shared" si="4"/>
        <v>0</v>
      </c>
      <c r="M149" s="1684"/>
      <c r="N149" s="1681">
        <f t="shared" si="5"/>
        <v>0</v>
      </c>
      <c r="O149" s="1681">
        <f t="shared" si="6"/>
        <v>0</v>
      </c>
      <c r="P149" s="1320"/>
    </row>
    <row r="150" spans="1:16">
      <c r="A150" s="394"/>
      <c r="B150" s="1639" t="str">
        <f t="shared" si="10"/>
        <v/>
      </c>
      <c r="C150" s="1675" t="str">
        <f>IF(D98="","-",+C149+1)</f>
        <v>-</v>
      </c>
      <c r="D150" s="1682">
        <f t="shared" si="7"/>
        <v>0</v>
      </c>
      <c r="E150" s="1683">
        <f>IF(+I101&lt;F149,I101,D150)</f>
        <v>0</v>
      </c>
      <c r="F150" s="1682">
        <f t="shared" si="2"/>
        <v>0</v>
      </c>
      <c r="G150" s="1686">
        <f t="shared" si="8"/>
        <v>0</v>
      </c>
      <c r="H150" s="1663">
        <f t="shared" si="9"/>
        <v>0</v>
      </c>
      <c r="I150" s="1678">
        <f t="shared" si="3"/>
        <v>0</v>
      </c>
      <c r="J150" s="1678"/>
      <c r="K150" s="1684"/>
      <c r="L150" s="1681">
        <f t="shared" si="4"/>
        <v>0</v>
      </c>
      <c r="M150" s="1684"/>
      <c r="N150" s="1681">
        <f t="shared" si="5"/>
        <v>0</v>
      </c>
      <c r="O150" s="1681">
        <f t="shared" si="6"/>
        <v>0</v>
      </c>
      <c r="P150" s="1320"/>
    </row>
    <row r="151" spans="1:16">
      <c r="A151" s="394"/>
      <c r="B151" s="1639" t="str">
        <f t="shared" si="10"/>
        <v/>
      </c>
      <c r="C151" s="1675" t="str">
        <f>IF(D98="","-",+C150+1)</f>
        <v>-</v>
      </c>
      <c r="D151" s="1682">
        <f t="shared" si="7"/>
        <v>0</v>
      </c>
      <c r="E151" s="1683">
        <f>IF(+I101&lt;F150,I101,D151)</f>
        <v>0</v>
      </c>
      <c r="F151" s="1682">
        <f t="shared" si="2"/>
        <v>0</v>
      </c>
      <c r="G151" s="1686">
        <f t="shared" si="8"/>
        <v>0</v>
      </c>
      <c r="H151" s="1663">
        <f t="shared" si="9"/>
        <v>0</v>
      </c>
      <c r="I151" s="1678">
        <f t="shared" si="3"/>
        <v>0</v>
      </c>
      <c r="J151" s="1678"/>
      <c r="K151" s="1684"/>
      <c r="L151" s="1681">
        <f t="shared" si="4"/>
        <v>0</v>
      </c>
      <c r="M151" s="1684"/>
      <c r="N151" s="1681">
        <f t="shared" si="5"/>
        <v>0</v>
      </c>
      <c r="O151" s="1681">
        <f t="shared" si="6"/>
        <v>0</v>
      </c>
      <c r="P151" s="1320"/>
    </row>
    <row r="152" spans="1:16">
      <c r="A152" s="394"/>
      <c r="B152" s="1639" t="str">
        <f t="shared" si="10"/>
        <v/>
      </c>
      <c r="C152" s="1675" t="str">
        <f>IF(D98="","-",+C151+1)</f>
        <v>-</v>
      </c>
      <c r="D152" s="1682">
        <f t="shared" si="7"/>
        <v>0</v>
      </c>
      <c r="E152" s="1683">
        <f>IF(+I101&lt;F151,I101,D152)</f>
        <v>0</v>
      </c>
      <c r="F152" s="1682">
        <f t="shared" si="2"/>
        <v>0</v>
      </c>
      <c r="G152" s="1686">
        <f t="shared" si="8"/>
        <v>0</v>
      </c>
      <c r="H152" s="1663">
        <f t="shared" si="9"/>
        <v>0</v>
      </c>
      <c r="I152" s="1678">
        <f t="shared" si="3"/>
        <v>0</v>
      </c>
      <c r="J152" s="1678"/>
      <c r="K152" s="1684"/>
      <c r="L152" s="1681">
        <f t="shared" si="4"/>
        <v>0</v>
      </c>
      <c r="M152" s="1684"/>
      <c r="N152" s="1681">
        <f t="shared" si="5"/>
        <v>0</v>
      </c>
      <c r="O152" s="1681">
        <f t="shared" si="6"/>
        <v>0</v>
      </c>
      <c r="P152" s="1320"/>
    </row>
    <row r="153" spans="1:16">
      <c r="A153" s="394"/>
      <c r="B153" s="1639" t="str">
        <f t="shared" si="10"/>
        <v/>
      </c>
      <c r="C153" s="1675" t="str">
        <f>IF(D98="","-",+C152+1)</f>
        <v>-</v>
      </c>
      <c r="D153" s="1682">
        <f t="shared" si="7"/>
        <v>0</v>
      </c>
      <c r="E153" s="1683">
        <f>IF(+I101&lt;F152,I101,D153)</f>
        <v>0</v>
      </c>
      <c r="F153" s="1682">
        <f t="shared" si="2"/>
        <v>0</v>
      </c>
      <c r="G153" s="1686">
        <f t="shared" si="8"/>
        <v>0</v>
      </c>
      <c r="H153" s="1663">
        <f t="shared" si="9"/>
        <v>0</v>
      </c>
      <c r="I153" s="1678">
        <f t="shared" si="3"/>
        <v>0</v>
      </c>
      <c r="J153" s="1678"/>
      <c r="K153" s="1684"/>
      <c r="L153" s="1681">
        <f t="shared" si="4"/>
        <v>0</v>
      </c>
      <c r="M153" s="1684"/>
      <c r="N153" s="1681">
        <f t="shared" si="5"/>
        <v>0</v>
      </c>
      <c r="O153" s="1681">
        <f t="shared" si="6"/>
        <v>0</v>
      </c>
      <c r="P153" s="1320"/>
    </row>
    <row r="154" spans="1:16">
      <c r="A154" s="394"/>
      <c r="B154" s="1639" t="str">
        <f t="shared" si="10"/>
        <v/>
      </c>
      <c r="C154" s="1675" t="str">
        <f>IF(D98="","-",+C153+1)</f>
        <v>-</v>
      </c>
      <c r="D154" s="1682">
        <f t="shared" si="7"/>
        <v>0</v>
      </c>
      <c r="E154" s="1683">
        <f>IF(+I101&lt;F153,I101,D154)</f>
        <v>0</v>
      </c>
      <c r="F154" s="1682">
        <f t="shared" si="2"/>
        <v>0</v>
      </c>
      <c r="G154" s="1686">
        <f t="shared" si="8"/>
        <v>0</v>
      </c>
      <c r="H154" s="1663">
        <f t="shared" si="9"/>
        <v>0</v>
      </c>
      <c r="I154" s="1678">
        <f t="shared" si="3"/>
        <v>0</v>
      </c>
      <c r="J154" s="1678"/>
      <c r="K154" s="1684"/>
      <c r="L154" s="1681">
        <f t="shared" si="4"/>
        <v>0</v>
      </c>
      <c r="M154" s="1684"/>
      <c r="N154" s="1681">
        <f t="shared" si="5"/>
        <v>0</v>
      </c>
      <c r="O154" s="1681">
        <f t="shared" si="6"/>
        <v>0</v>
      </c>
      <c r="P154" s="1320"/>
    </row>
    <row r="155" spans="1:16">
      <c r="A155" s="394"/>
      <c r="B155" s="1639" t="str">
        <f t="shared" si="10"/>
        <v/>
      </c>
      <c r="C155" s="1675" t="str">
        <f>IF(D98="","-",+C154+1)</f>
        <v>-</v>
      </c>
      <c r="D155" s="1682">
        <f t="shared" si="7"/>
        <v>0</v>
      </c>
      <c r="E155" s="1683">
        <f>IF(+I101&lt;F154,I101,D155)</f>
        <v>0</v>
      </c>
      <c r="F155" s="1682">
        <f t="shared" si="2"/>
        <v>0</v>
      </c>
      <c r="G155" s="1686">
        <f t="shared" si="8"/>
        <v>0</v>
      </c>
      <c r="H155" s="1663">
        <f t="shared" si="9"/>
        <v>0</v>
      </c>
      <c r="I155" s="1678">
        <f t="shared" si="3"/>
        <v>0</v>
      </c>
      <c r="J155" s="1678"/>
      <c r="K155" s="1684"/>
      <c r="L155" s="1681">
        <f t="shared" si="4"/>
        <v>0</v>
      </c>
      <c r="M155" s="1684"/>
      <c r="N155" s="1681">
        <f t="shared" si="5"/>
        <v>0</v>
      </c>
      <c r="O155" s="1681">
        <f t="shared" si="6"/>
        <v>0</v>
      </c>
      <c r="P155" s="1320"/>
    </row>
    <row r="156" spans="1:16">
      <c r="A156" s="394"/>
      <c r="B156" s="1639" t="str">
        <f t="shared" si="10"/>
        <v/>
      </c>
      <c r="C156" s="1675" t="str">
        <f>IF(D98="","-",+C155+1)</f>
        <v>-</v>
      </c>
      <c r="D156" s="1682">
        <f t="shared" si="7"/>
        <v>0</v>
      </c>
      <c r="E156" s="1683">
        <f>IF(+I101&lt;F155,I101,D156)</f>
        <v>0</v>
      </c>
      <c r="F156" s="1682">
        <f t="shared" si="2"/>
        <v>0</v>
      </c>
      <c r="G156" s="1686">
        <f t="shared" si="8"/>
        <v>0</v>
      </c>
      <c r="H156" s="1663">
        <f t="shared" si="9"/>
        <v>0</v>
      </c>
      <c r="I156" s="1678">
        <f t="shared" si="3"/>
        <v>0</v>
      </c>
      <c r="J156" s="1678"/>
      <c r="K156" s="1684"/>
      <c r="L156" s="1681">
        <f t="shared" si="4"/>
        <v>0</v>
      </c>
      <c r="M156" s="1684"/>
      <c r="N156" s="1681">
        <f t="shared" si="5"/>
        <v>0</v>
      </c>
      <c r="O156" s="1681">
        <f t="shared" si="6"/>
        <v>0</v>
      </c>
      <c r="P156" s="1320"/>
    </row>
    <row r="157" spans="1:16">
      <c r="A157" s="394"/>
      <c r="B157" s="1639" t="str">
        <f t="shared" si="10"/>
        <v/>
      </c>
      <c r="C157" s="1675" t="str">
        <f>IF(D98="","-",+C156+1)</f>
        <v>-</v>
      </c>
      <c r="D157" s="1682">
        <f t="shared" si="7"/>
        <v>0</v>
      </c>
      <c r="E157" s="1683">
        <f>IF(+I101&lt;F156,I101,D157)</f>
        <v>0</v>
      </c>
      <c r="F157" s="1682">
        <f t="shared" si="2"/>
        <v>0</v>
      </c>
      <c r="G157" s="1686">
        <f t="shared" si="8"/>
        <v>0</v>
      </c>
      <c r="H157" s="1663">
        <f t="shared" si="9"/>
        <v>0</v>
      </c>
      <c r="I157" s="1678">
        <f t="shared" si="3"/>
        <v>0</v>
      </c>
      <c r="J157" s="1678"/>
      <c r="K157" s="1684"/>
      <c r="L157" s="1681">
        <f t="shared" si="4"/>
        <v>0</v>
      </c>
      <c r="M157" s="1684"/>
      <c r="N157" s="1681">
        <f t="shared" si="5"/>
        <v>0</v>
      </c>
      <c r="O157" s="1681">
        <f t="shared" si="6"/>
        <v>0</v>
      </c>
      <c r="P157" s="1320"/>
    </row>
    <row r="158" spans="1:16">
      <c r="A158" s="394"/>
      <c r="B158" s="1639" t="str">
        <f t="shared" si="10"/>
        <v/>
      </c>
      <c r="C158" s="1675" t="str">
        <f>IF(D98="","-",+C157+1)</f>
        <v>-</v>
      </c>
      <c r="D158" s="1682">
        <f t="shared" si="7"/>
        <v>0</v>
      </c>
      <c r="E158" s="1683">
        <f>IF(+I101&lt;F157,I101,D158)</f>
        <v>0</v>
      </c>
      <c r="F158" s="1682">
        <f t="shared" si="2"/>
        <v>0</v>
      </c>
      <c r="G158" s="1686">
        <f t="shared" si="8"/>
        <v>0</v>
      </c>
      <c r="H158" s="1663">
        <f t="shared" si="9"/>
        <v>0</v>
      </c>
      <c r="I158" s="1678">
        <f t="shared" si="3"/>
        <v>0</v>
      </c>
      <c r="J158" s="1678"/>
      <c r="K158" s="1684"/>
      <c r="L158" s="1681">
        <f t="shared" si="4"/>
        <v>0</v>
      </c>
      <c r="M158" s="1684"/>
      <c r="N158" s="1681">
        <f t="shared" si="5"/>
        <v>0</v>
      </c>
      <c r="O158" s="1681">
        <f t="shared" si="6"/>
        <v>0</v>
      </c>
      <c r="P158" s="1320"/>
    </row>
    <row r="159" spans="1:16" ht="13.5" thickBot="1">
      <c r="A159" s="394"/>
      <c r="B159" s="1639" t="str">
        <f t="shared" si="10"/>
        <v/>
      </c>
      <c r="C159" s="1687" t="str">
        <f>IF(D98="","-",+C158+1)</f>
        <v>-</v>
      </c>
      <c r="D159" s="1688">
        <f t="shared" si="7"/>
        <v>0</v>
      </c>
      <c r="E159" s="1689">
        <f>IF(+I101&lt;F158,I101,D159)</f>
        <v>0</v>
      </c>
      <c r="F159" s="1688">
        <f t="shared" si="2"/>
        <v>0</v>
      </c>
      <c r="G159" s="1690">
        <f t="shared" si="8"/>
        <v>0</v>
      </c>
      <c r="H159" s="1652">
        <f t="shared" si="9"/>
        <v>0</v>
      </c>
      <c r="I159" s="1691">
        <f t="shared" si="3"/>
        <v>0</v>
      </c>
      <c r="J159" s="1678"/>
      <c r="K159" s="1692"/>
      <c r="L159" s="1693">
        <f t="shared" si="4"/>
        <v>0</v>
      </c>
      <c r="M159" s="1692"/>
      <c r="N159" s="1693">
        <f t="shared" si="5"/>
        <v>0</v>
      </c>
      <c r="O159" s="1693">
        <f t="shared" si="6"/>
        <v>0</v>
      </c>
      <c r="P159" s="1320"/>
    </row>
    <row r="160" spans="1:16">
      <c r="A160" s="394"/>
      <c r="B160" s="394"/>
      <c r="C160" s="1676" t="s">
        <v>473</v>
      </c>
      <c r="D160" s="1642"/>
      <c r="E160" s="1642">
        <f>SUM(E104:E159)</f>
        <v>0</v>
      </c>
      <c r="F160" s="1642"/>
      <c r="G160" s="1642">
        <f>SUM(G104:G159)</f>
        <v>0</v>
      </c>
      <c r="H160" s="1642">
        <f>SUM(H104:H159)</f>
        <v>0</v>
      </c>
      <c r="I160" s="1642">
        <f>SUM(I104:I159)</f>
        <v>0</v>
      </c>
      <c r="J160" s="1642"/>
      <c r="K160" s="1642"/>
      <c r="L160" s="1642"/>
      <c r="M160" s="1642"/>
      <c r="N160" s="1642"/>
      <c r="O160" s="1320"/>
      <c r="P160" s="1320"/>
    </row>
    <row r="161" spans="1:16">
      <c r="A161" s="394"/>
      <c r="B161" s="394"/>
      <c r="C161" s="394"/>
      <c r="D161" s="1639"/>
      <c r="E161" s="394"/>
      <c r="F161" s="394"/>
      <c r="G161" s="394"/>
      <c r="H161" s="1641"/>
      <c r="I161" s="1641"/>
      <c r="J161" s="1642"/>
      <c r="K161" s="1641"/>
      <c r="L161" s="1641"/>
      <c r="M161" s="1641"/>
      <c r="N161" s="1641"/>
      <c r="O161" s="394"/>
      <c r="P161" s="394"/>
    </row>
    <row r="162" spans="1:16">
      <c r="A162" s="394"/>
      <c r="B162" s="394"/>
      <c r="C162" s="572" t="s">
        <v>632</v>
      </c>
      <c r="D162" s="1639"/>
      <c r="E162" s="394"/>
      <c r="F162" s="394"/>
      <c r="G162" s="394"/>
      <c r="H162" s="1641"/>
      <c r="I162" s="1641"/>
      <c r="J162" s="1642"/>
      <c r="K162" s="1641"/>
      <c r="L162" s="1641"/>
      <c r="M162" s="1641"/>
      <c r="N162" s="1641"/>
      <c r="O162" s="394"/>
      <c r="P162" s="394"/>
    </row>
    <row r="163" spans="1:16">
      <c r="A163" s="394"/>
      <c r="B163" s="394"/>
      <c r="C163" s="572" t="s">
        <v>474</v>
      </c>
      <c r="D163" s="1639"/>
      <c r="E163" s="394"/>
      <c r="F163" s="394"/>
      <c r="G163" s="394"/>
      <c r="H163" s="1641"/>
      <c r="I163" s="1641"/>
      <c r="J163" s="1642"/>
      <c r="K163" s="1641"/>
      <c r="L163" s="1641"/>
      <c r="M163" s="1641"/>
      <c r="N163" s="1641"/>
      <c r="O163" s="1320"/>
      <c r="P163" s="1320"/>
    </row>
    <row r="164" spans="1:16">
      <c r="A164" s="394"/>
      <c r="B164" s="394"/>
      <c r="C164" s="572" t="s">
        <v>475</v>
      </c>
      <c r="D164" s="1676"/>
      <c r="E164" s="1676"/>
      <c r="F164" s="1676"/>
      <c r="G164" s="1642"/>
      <c r="H164" s="1642"/>
      <c r="I164" s="1694"/>
      <c r="J164" s="1694"/>
      <c r="K164" s="1694"/>
      <c r="L164" s="1694"/>
      <c r="M164" s="1694"/>
      <c r="N164" s="1694"/>
      <c r="O164" s="1320"/>
      <c r="P164" s="1320"/>
    </row>
    <row r="165" spans="1:16">
      <c r="A165" s="394"/>
      <c r="B165" s="394"/>
      <c r="C165" s="572"/>
      <c r="D165" s="1676"/>
      <c r="E165" s="1676"/>
      <c r="F165" s="1676"/>
      <c r="G165" s="1642"/>
      <c r="H165" s="1642"/>
      <c r="I165" s="1694"/>
      <c r="J165" s="1694"/>
      <c r="K165" s="1694"/>
      <c r="L165" s="1694"/>
      <c r="M165" s="1694"/>
      <c r="N165" s="1694"/>
      <c r="O165" s="1320"/>
      <c r="P165" s="394"/>
    </row>
    <row r="166" spans="1:16">
      <c r="A166" s="394"/>
      <c r="B166" s="394"/>
      <c r="C166" s="270"/>
      <c r="D166" s="1639"/>
      <c r="E166" s="394"/>
      <c r="F166" s="1695"/>
      <c r="G166" s="394"/>
      <c r="H166" s="1641"/>
      <c r="I166" s="394"/>
      <c r="J166" s="1320"/>
      <c r="K166" s="394"/>
      <c r="L166" s="394"/>
      <c r="M166" s="394"/>
      <c r="N166" s="394"/>
      <c r="O166" s="394"/>
      <c r="P166" s="394"/>
    </row>
    <row r="167" spans="1:16" ht="18">
      <c r="A167" s="394"/>
      <c r="B167" s="394"/>
      <c r="C167" s="1696"/>
      <c r="D167" s="1639"/>
      <c r="E167" s="394"/>
      <c r="F167" s="1695"/>
      <c r="G167" s="394"/>
      <c r="H167" s="1641"/>
      <c r="I167" s="394"/>
      <c r="J167" s="1320"/>
      <c r="K167" s="394"/>
      <c r="L167" s="394"/>
      <c r="M167" s="394"/>
      <c r="N167" s="394"/>
      <c r="O167" s="394"/>
      <c r="P167" s="920"/>
    </row>
    <row r="168" spans="1:16">
      <c r="P168" s="276"/>
    </row>
    <row r="169" spans="1:16">
      <c r="P169" s="276"/>
    </row>
    <row r="170" spans="1:16">
      <c r="P170" s="276"/>
    </row>
    <row r="171" spans="1:16">
      <c r="P171" s="276"/>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166"/>
  <sheetViews>
    <sheetView topLeftCell="F1" zoomScale="81" zoomScaleNormal="81" zoomScaleSheetLayoutView="75" workbookViewId="0">
      <selection activeCell="Q26" sqref="Q26"/>
    </sheetView>
  </sheetViews>
  <sheetFormatPr defaultColWidth="8.7109375" defaultRowHeight="12.75"/>
  <cols>
    <col min="1" max="1" width="9.28515625" style="276" customWidth="1"/>
    <col min="2" max="2" width="6.7109375" style="276" customWidth="1"/>
    <col min="3" max="3" width="26.5703125" style="276" customWidth="1"/>
    <col min="4" max="4" width="17.7109375" style="325" customWidth="1"/>
    <col min="5" max="5" width="21.7109375" style="276" customWidth="1"/>
    <col min="6" max="8" width="17.7109375" style="276" customWidth="1"/>
    <col min="9" max="9" width="19.5703125" style="1350" customWidth="1"/>
    <col min="10" max="10" width="20.28515625" style="1350" customWidth="1"/>
    <col min="11" max="11" width="13.5703125" style="1350" customWidth="1"/>
    <col min="12" max="13" width="17.7109375" style="276" customWidth="1"/>
    <col min="14" max="14" width="19.28515625" style="276" customWidth="1"/>
    <col min="15" max="15" width="18.42578125" style="276" customWidth="1"/>
    <col min="16" max="16" width="19.5703125" style="276" customWidth="1"/>
    <col min="17" max="17" width="2.28515625" style="270" customWidth="1"/>
    <col min="18" max="18" width="16.42578125" style="270" customWidth="1"/>
    <col min="19" max="19" width="57.7109375" style="276" bestFit="1" customWidth="1"/>
    <col min="20" max="20" width="17.28515625" style="276" customWidth="1"/>
    <col min="21" max="16384" width="8.7109375" style="276"/>
  </cols>
  <sheetData>
    <row r="1" spans="1:21" ht="15">
      <c r="A1" s="547"/>
    </row>
    <row r="2" spans="1:21" ht="18">
      <c r="A2" s="2305" t="str">
        <f>'SWT TCOS'!F4</f>
        <v xml:space="preserve">AEP West SPP Member Transmission Companies </v>
      </c>
      <c r="B2" s="2305"/>
      <c r="C2" s="2305"/>
      <c r="D2" s="2305"/>
      <c r="E2" s="2305"/>
      <c r="F2" s="2305"/>
      <c r="G2" s="2305"/>
      <c r="H2" s="2305"/>
      <c r="I2" s="2305"/>
      <c r="J2" s="921"/>
      <c r="K2" s="921"/>
    </row>
    <row r="3" spans="1:21" ht="18">
      <c r="A3" s="2310" t="str">
        <f>+'SWT WS A-1 - Plant'!A3</f>
        <v xml:space="preserve">Actual / Projected 2022 Rate Year Cost of Service Formula Rate </v>
      </c>
      <c r="B3" s="2305"/>
      <c r="C3" s="2305"/>
      <c r="D3" s="2305"/>
      <c r="E3" s="2305"/>
      <c r="F3" s="2305"/>
      <c r="G3" s="2305"/>
      <c r="H3" s="2305"/>
      <c r="I3" s="2305"/>
      <c r="J3" s="1697"/>
      <c r="K3" s="1697"/>
    </row>
    <row r="4" spans="1:21" ht="18">
      <c r="A4" s="2305" t="s">
        <v>634</v>
      </c>
      <c r="B4" s="2305"/>
      <c r="C4" s="2305"/>
      <c r="D4" s="2305"/>
      <c r="E4" s="2305"/>
      <c r="F4" s="2305"/>
      <c r="G4" s="2305"/>
      <c r="H4" s="2305"/>
      <c r="I4" s="2305"/>
      <c r="J4" s="1697"/>
      <c r="K4" s="1697"/>
    </row>
    <row r="5" spans="1:21" ht="18">
      <c r="A5" s="2199" t="str">
        <f>+'SWT TCOS'!F8</f>
        <v>AEP SOUTHWESTERN TRANSMISSION COMPANY</v>
      </c>
      <c r="B5" s="2199"/>
      <c r="C5" s="2199"/>
      <c r="D5" s="2199"/>
      <c r="E5" s="2199"/>
      <c r="F5" s="2199"/>
      <c r="G5" s="2199"/>
      <c r="H5" s="2199"/>
      <c r="I5" s="2199"/>
      <c r="J5" s="923"/>
      <c r="K5" s="923"/>
    </row>
    <row r="7" spans="1:21" ht="35.25" customHeight="1">
      <c r="A7" s="1559" t="s">
        <v>305</v>
      </c>
      <c r="B7" s="723" t="s">
        <v>307</v>
      </c>
      <c r="C7" s="2250" t="str">
        <f>"Calculate Return and Income Taxes with "&amp;F12&amp;" basis point ROE increase for Projects Qualified for Incentive."</f>
        <v>Calculate Return and Income Taxes with 0 basis point ROE increase for Projects Qualified for Incentive.</v>
      </c>
      <c r="D7" s="2306"/>
      <c r="E7" s="2306"/>
      <c r="F7" s="2306"/>
      <c r="G7" s="2306"/>
      <c r="H7" s="2306"/>
      <c r="I7" s="2306"/>
      <c r="J7" s="335"/>
      <c r="K7" s="335"/>
      <c r="L7" s="2307" t="s">
        <v>427</v>
      </c>
      <c r="M7" s="2307"/>
      <c r="N7" s="2307"/>
      <c r="O7" s="2307"/>
      <c r="P7" s="2307"/>
      <c r="R7" s="720" t="s">
        <v>496</v>
      </c>
    </row>
    <row r="8" spans="1:21" ht="15.75" customHeight="1">
      <c r="A8" s="1559" t="s">
        <v>243</v>
      </c>
      <c r="C8" s="335"/>
      <c r="D8" s="335"/>
      <c r="E8" s="335"/>
      <c r="F8" s="335"/>
      <c r="G8" s="335"/>
      <c r="H8" s="335"/>
      <c r="I8" s="335"/>
      <c r="J8" s="335"/>
      <c r="K8" s="335"/>
      <c r="L8" s="2307"/>
      <c r="M8" s="2307"/>
      <c r="N8" s="2307"/>
      <c r="O8" s="2307"/>
      <c r="P8" s="2307"/>
    </row>
    <row r="9" spans="1:21" ht="15.75">
      <c r="C9" s="725" t="str">
        <f>"A.   Determine 'R' with hypothetical "&amp;F12&amp;" basis point increase in ROE for Identified Projects"</f>
        <v>A.   Determine 'R' with hypothetical 0 basis point increase in ROE for Identified Projects</v>
      </c>
      <c r="L9" s="2307"/>
      <c r="M9" s="2307"/>
      <c r="N9" s="2307"/>
      <c r="O9" s="2307"/>
      <c r="P9" s="2307"/>
      <c r="R9" s="276"/>
      <c r="S9" s="276" t="s">
        <v>163</v>
      </c>
    </row>
    <row r="10" spans="1:21" ht="18" customHeight="1">
      <c r="L10" s="2307"/>
      <c r="M10" s="2307"/>
      <c r="N10" s="2307"/>
      <c r="O10" s="2307"/>
      <c r="P10" s="2307"/>
      <c r="R10" s="726" t="s">
        <v>157</v>
      </c>
      <c r="S10" s="720" t="s">
        <v>336</v>
      </c>
    </row>
    <row r="11" spans="1:21" ht="13.5" thickBot="1">
      <c r="A11" s="325">
        <v>1</v>
      </c>
      <c r="C11" s="27" t="str">
        <f>"   ROE w/o incentives  (TCOS, ln "&amp;'SWT TCOS'!B237&amp;")"</f>
        <v xml:space="preserve">   ROE w/o incentives  (TCOS, ln 143)</v>
      </c>
      <c r="E11" s="1560"/>
      <c r="F11" s="1561">
        <f>+'SWT TCOS'!J237</f>
        <v>0.105</v>
      </c>
      <c r="G11" s="1561"/>
      <c r="H11" s="1562"/>
      <c r="I11" s="1563"/>
      <c r="J11" s="1563"/>
      <c r="K11" s="1563"/>
      <c r="L11" s="335"/>
      <c r="M11" s="335"/>
      <c r="N11" s="335"/>
      <c r="O11" s="335"/>
      <c r="P11" s="335"/>
      <c r="Q11" s="1564"/>
      <c r="R11" s="720" t="s">
        <v>430</v>
      </c>
      <c r="T11" s="734"/>
    </row>
    <row r="12" spans="1:21" ht="14.25">
      <c r="A12" s="325">
        <f>+A11+1</f>
        <v>2</v>
      </c>
      <c r="C12" s="27" t="s">
        <v>145</v>
      </c>
      <c r="E12" s="1560"/>
      <c r="F12" s="735">
        <v>0</v>
      </c>
      <c r="G12" s="1567" t="s">
        <v>335</v>
      </c>
      <c r="I12" s="276"/>
      <c r="J12" s="276"/>
      <c r="K12" s="276"/>
      <c r="L12" s="1571"/>
      <c r="M12" s="1571"/>
      <c r="N12" s="1571"/>
      <c r="O12" s="1571"/>
      <c r="P12" s="1571"/>
      <c r="Q12" s="1564"/>
      <c r="R12" s="1565" t="s">
        <v>494</v>
      </c>
      <c r="S12" s="1566" t="s">
        <v>87</v>
      </c>
      <c r="T12" s="131"/>
    </row>
    <row r="13" spans="1:21" ht="13.5" thickBot="1">
      <c r="A13" s="325">
        <f>+A12+1</f>
        <v>3</v>
      </c>
      <c r="C13" s="27" t="str">
        <f>"   ROE with additional "&amp;F12&amp;" basis point incentive"</f>
        <v xml:space="preserve">   ROE with additional 0 basis point incentive</v>
      </c>
      <c r="D13" s="1560"/>
      <c r="E13" s="1560"/>
      <c r="F13" s="1570">
        <f>IF((F11+(F12/10000)&gt;0.1245),"ERROR",F11+(F12/10000))</f>
        <v>0.105</v>
      </c>
      <c r="G13" s="740" t="s">
        <v>633</v>
      </c>
      <c r="I13" s="1571"/>
      <c r="J13" s="1571"/>
      <c r="K13" s="1571"/>
      <c r="Q13" s="1564"/>
      <c r="R13" s="1568">
        <f>M17</f>
        <v>2016</v>
      </c>
      <c r="S13" s="1569" t="s">
        <v>124</v>
      </c>
      <c r="T13" s="131"/>
      <c r="U13" s="270"/>
    </row>
    <row r="14" spans="1:21">
      <c r="A14" s="325">
        <f t="shared" ref="A14:A46" si="0">+A13+1</f>
        <v>4</v>
      </c>
      <c r="C14" s="1573" t="str">
        <f>"   Determine R  (cost of long term debt, cost of preferred stock and percent is from TCOS, lns "&amp;'SWT TCOS'!B235&amp;" through "&amp;'SWT TCOS'!B237&amp;")"</f>
        <v xml:space="preserve">   Determine R  (cost of long term debt, cost of preferred stock and percent is from TCOS, lns 141 through 143)</v>
      </c>
      <c r="E14" s="1560"/>
      <c r="F14" s="1570"/>
      <c r="G14" s="1570"/>
      <c r="H14" s="1560"/>
      <c r="I14" s="1571"/>
      <c r="J14" s="1571"/>
      <c r="K14" s="1571"/>
      <c r="L14" s="2251" t="s">
        <v>382</v>
      </c>
      <c r="M14" s="2252"/>
      <c r="N14" s="2252"/>
      <c r="O14" s="2252"/>
      <c r="P14" s="2253"/>
      <c r="Q14" s="1564"/>
      <c r="R14" s="1698">
        <f>+F11</f>
        <v>0.105</v>
      </c>
      <c r="S14" s="1569" t="str">
        <f>+C11</f>
        <v xml:space="preserve">   ROE w/o incentives  (TCOS, ln 143)</v>
      </c>
      <c r="T14" s="131"/>
      <c r="U14" s="270"/>
    </row>
    <row r="15" spans="1:21" ht="16.5" customHeight="1">
      <c r="A15" s="325">
        <f t="shared" si="0"/>
        <v>5</v>
      </c>
      <c r="C15" s="1564"/>
      <c r="D15" s="746" t="s">
        <v>282</v>
      </c>
      <c r="E15" s="746" t="s">
        <v>281</v>
      </c>
      <c r="F15" s="747" t="s">
        <v>367</v>
      </c>
      <c r="G15" s="747"/>
      <c r="H15" s="1560"/>
      <c r="I15" s="1571"/>
      <c r="J15" s="1571"/>
      <c r="K15" s="1571"/>
      <c r="L15" s="2254"/>
      <c r="M15" s="2255"/>
      <c r="N15" s="2255"/>
      <c r="O15" s="2255"/>
      <c r="P15" s="2256"/>
      <c r="Q15" s="1564"/>
      <c r="R15" s="1574">
        <f>+F12</f>
        <v>0</v>
      </c>
      <c r="S15" s="1569" t="str">
        <f>+C12</f>
        <v xml:space="preserve">   Project ROE Incentive Adder (Enter as whole number)</v>
      </c>
      <c r="T15" s="131"/>
      <c r="U15" s="270"/>
    </row>
    <row r="16" spans="1:21">
      <c r="A16" s="325">
        <f t="shared" si="0"/>
        <v>6</v>
      </c>
      <c r="C16" s="1577" t="s">
        <v>370</v>
      </c>
      <c r="D16" s="1578">
        <f>'SWT TCOS'!G235</f>
        <v>0</v>
      </c>
      <c r="E16" s="1579">
        <f>+'SWT TCOS'!J235</f>
        <v>0</v>
      </c>
      <c r="F16" s="1580">
        <f>E16*D16</f>
        <v>0</v>
      </c>
      <c r="G16" s="1581"/>
      <c r="H16" s="1560"/>
      <c r="I16" s="1571"/>
      <c r="J16" s="1571"/>
      <c r="K16" s="1571"/>
      <c r="L16" s="1587"/>
      <c r="M16" s="1564"/>
      <c r="N16" s="1564" t="s">
        <v>368</v>
      </c>
      <c r="O16" s="1564" t="s">
        <v>429</v>
      </c>
      <c r="P16" s="1588" t="s">
        <v>369</v>
      </c>
      <c r="Q16" s="1585"/>
      <c r="R16" s="1698">
        <f>+D16</f>
        <v>0</v>
      </c>
      <c r="S16" s="1576" t="str">
        <f>+C16&amp;" "&amp;D15</f>
        <v>Long Term Debt %</v>
      </c>
      <c r="T16" s="131"/>
      <c r="U16" s="270"/>
    </row>
    <row r="17" spans="1:21">
      <c r="A17" s="325">
        <f t="shared" si="0"/>
        <v>7</v>
      </c>
      <c r="C17" s="1577" t="s">
        <v>371</v>
      </c>
      <c r="D17" s="1578">
        <f>'SWT TCOS'!G236</f>
        <v>0</v>
      </c>
      <c r="E17" s="1579">
        <f>+'SWT TCOS'!J236</f>
        <v>0</v>
      </c>
      <c r="F17" s="1580">
        <f>E17*D17</f>
        <v>0</v>
      </c>
      <c r="G17" s="1581"/>
      <c r="H17" s="1586"/>
      <c r="I17" s="1586"/>
      <c r="J17" s="1586"/>
      <c r="K17" s="1586"/>
      <c r="L17" s="1587" t="s">
        <v>422</v>
      </c>
      <c r="M17" s="1699">
        <v>2016</v>
      </c>
      <c r="N17" s="270"/>
      <c r="O17" s="270"/>
      <c r="P17" s="1569"/>
      <c r="Q17" s="1589"/>
      <c r="R17" s="1700">
        <f>+E16</f>
        <v>0</v>
      </c>
      <c r="S17" s="1576" t="str">
        <f>C16&amp;" "&amp;E15</f>
        <v>Long Term Debt Cost</v>
      </c>
      <c r="T17" s="131"/>
      <c r="U17" s="270"/>
    </row>
    <row r="18" spans="1:21">
      <c r="A18" s="325">
        <f t="shared" si="0"/>
        <v>8</v>
      </c>
      <c r="C18" s="1577" t="s">
        <v>363</v>
      </c>
      <c r="D18" s="1578">
        <f>'SWT TCOS'!G237</f>
        <v>0</v>
      </c>
      <c r="E18" s="1579">
        <f>+F13</f>
        <v>0.105</v>
      </c>
      <c r="F18" s="767">
        <f>E18*D18</f>
        <v>0</v>
      </c>
      <c r="G18" s="768"/>
      <c r="H18" s="1586"/>
      <c r="I18" s="1586"/>
      <c r="J18" s="1586"/>
      <c r="K18" s="1586"/>
      <c r="L18" s="1701" t="s">
        <v>423</v>
      </c>
      <c r="M18" s="1702"/>
      <c r="N18" s="929">
        <f>+R46</f>
        <v>0</v>
      </c>
      <c r="O18" s="929">
        <f>+R47</f>
        <v>0</v>
      </c>
      <c r="P18" s="930">
        <f>+O18-N18</f>
        <v>0</v>
      </c>
      <c r="Q18" s="1589"/>
      <c r="R18" s="1698">
        <f>+D17</f>
        <v>0</v>
      </c>
      <c r="S18" s="1576" t="str">
        <f>C17&amp;" "&amp;D15</f>
        <v>Preferred Stock %</v>
      </c>
      <c r="T18" s="131"/>
      <c r="U18" s="270"/>
    </row>
    <row r="19" spans="1:21">
      <c r="A19" s="325">
        <f t="shared" si="0"/>
        <v>9</v>
      </c>
      <c r="C19" s="27"/>
      <c r="D19" s="1560"/>
      <c r="E19" s="1591" t="s">
        <v>372</v>
      </c>
      <c r="F19" s="1580">
        <f>SUM(F16:F18)</f>
        <v>0</v>
      </c>
      <c r="G19" s="1581"/>
      <c r="H19" s="1592"/>
      <c r="I19" s="1586"/>
      <c r="J19" s="1586"/>
      <c r="K19" s="1586"/>
      <c r="L19" s="1703" t="s">
        <v>428</v>
      </c>
      <c r="M19" s="1704"/>
      <c r="N19" s="929">
        <f>+R48</f>
        <v>0</v>
      </c>
      <c r="O19" s="929">
        <f>+R49</f>
        <v>0</v>
      </c>
      <c r="P19" s="930">
        <f>+O19-N19</f>
        <v>0</v>
      </c>
      <c r="Q19" s="1589"/>
      <c r="R19" s="1700">
        <f>+E17</f>
        <v>0</v>
      </c>
      <c r="S19" s="1576" t="str">
        <f>C17&amp;" "&amp;E15</f>
        <v>Preferred Stock Cost</v>
      </c>
      <c r="T19" s="131"/>
      <c r="U19" s="270"/>
    </row>
    <row r="20" spans="1:21" ht="13.5" thickBot="1">
      <c r="A20" s="325"/>
      <c r="D20" s="1598"/>
      <c r="E20" s="1598"/>
      <c r="F20" s="1586"/>
      <c r="G20" s="1586"/>
      <c r="H20" s="1586"/>
      <c r="I20" s="1586"/>
      <c r="J20" s="1586"/>
      <c r="K20" s="1586"/>
      <c r="L20" s="1705" t="str">
        <f>"True-up Adjustment For "&amp;M17&amp;""</f>
        <v>True-up Adjustment For 2016</v>
      </c>
      <c r="M20" s="1706"/>
      <c r="N20" s="1707">
        <f>+N19-N18</f>
        <v>0</v>
      </c>
      <c r="O20" s="1707">
        <f>+O19-O18</f>
        <v>0</v>
      </c>
      <c r="P20" s="1708">
        <f>+P19-P18</f>
        <v>0</v>
      </c>
      <c r="Q20" s="1599"/>
      <c r="R20" s="1698">
        <f>+D18</f>
        <v>0</v>
      </c>
      <c r="S20" s="1597" t="str">
        <f>C18&amp;" "&amp;D15</f>
        <v>Common Stock %</v>
      </c>
      <c r="T20" s="131"/>
      <c r="U20" s="270"/>
    </row>
    <row r="21" spans="1:21" ht="15.75">
      <c r="A21" s="325"/>
      <c r="C21" s="725" t="str">
        <f>"B.   Determine Return using 'R' with hypothetical "&amp;F12&amp;" basis point ROE increase for Identified Projects."</f>
        <v>B.   Determine Return using 'R' with hypothetical 0 basis point ROE increase for Identified Projects.</v>
      </c>
      <c r="D21" s="1598"/>
      <c r="E21" s="1598"/>
      <c r="F21" s="1586"/>
      <c r="G21" s="1586"/>
      <c r="H21" s="1586"/>
      <c r="I21" s="1560"/>
      <c r="J21" s="1560"/>
      <c r="K21" s="1560"/>
      <c r="L21" s="1585"/>
      <c r="M21" s="7"/>
      <c r="N21" s="1709"/>
      <c r="O21" s="1709"/>
      <c r="P21" s="1710"/>
      <c r="Q21" s="1599"/>
      <c r="R21" s="1603">
        <f>+E23</f>
        <v>668345.4213007692</v>
      </c>
      <c r="S21" s="1601" t="str">
        <f>C23</f>
        <v xml:space="preserve">   Rate Base  (TCOS, ln 63)</v>
      </c>
      <c r="T21" s="131"/>
      <c r="U21" s="270"/>
    </row>
    <row r="22" spans="1:21">
      <c r="A22" s="325"/>
      <c r="C22" s="1564"/>
      <c r="D22" s="1598"/>
      <c r="E22" s="1598"/>
      <c r="F22" s="1599"/>
      <c r="G22" s="1599"/>
      <c r="H22" s="1599"/>
      <c r="I22" s="1599"/>
      <c r="J22" s="1599"/>
      <c r="K22" s="1599"/>
      <c r="L22" s="1586"/>
      <c r="M22" s="1586"/>
      <c r="N22" s="1586"/>
      <c r="O22" s="1586"/>
      <c r="P22" s="1586"/>
      <c r="Q22" s="1599"/>
      <c r="R22" s="1602">
        <f>+F30</f>
        <v>0.26924999999999988</v>
      </c>
      <c r="S22" s="1569" t="str">
        <f>+C30</f>
        <v xml:space="preserve">   Tax Rate  (TCOS, ln 99)</v>
      </c>
      <c r="T22" s="131"/>
      <c r="U22" s="270"/>
    </row>
    <row r="23" spans="1:21">
      <c r="A23" s="325">
        <f>+A19+1</f>
        <v>10</v>
      </c>
      <c r="C23" s="27" t="str">
        <f>"   Rate Base  (TCOS, ln "&amp;'SWT TCOS'!B113&amp;")"</f>
        <v xml:space="preserve">   Rate Base  (TCOS, ln 63)</v>
      </c>
      <c r="D23" s="1560"/>
      <c r="E23" s="1604">
        <f>+'SWT TCOS'!L113</f>
        <v>668345.4213007692</v>
      </c>
      <c r="F23" s="1605"/>
      <c r="G23" s="1605"/>
      <c r="H23" s="1599"/>
      <c r="I23" s="1599"/>
      <c r="J23" s="1599"/>
      <c r="K23" s="1599"/>
      <c r="L23" s="572"/>
      <c r="M23" s="1599"/>
      <c r="N23" s="1599"/>
      <c r="O23" s="1599"/>
      <c r="P23" s="1599"/>
      <c r="Q23" s="1599"/>
      <c r="R23" s="1603">
        <f>+F33</f>
        <v>0</v>
      </c>
      <c r="S23" s="1569" t="str">
        <f>+C33</f>
        <v xml:space="preserve">   ITC Adjustment  (TCOS, ln 108)</v>
      </c>
      <c r="T23" s="131"/>
      <c r="U23" s="270"/>
    </row>
    <row r="24" spans="1:21">
      <c r="A24" s="325">
        <f t="shared" si="0"/>
        <v>11</v>
      </c>
      <c r="C24" s="1564" t="s">
        <v>341</v>
      </c>
      <c r="D24" s="1562"/>
      <c r="E24" s="1606">
        <f>F19</f>
        <v>0</v>
      </c>
      <c r="F24" s="1599"/>
      <c r="G24" s="1599"/>
      <c r="H24" s="1599"/>
      <c r="I24" s="1599"/>
      <c r="J24" s="1599"/>
      <c r="K24" s="1599"/>
      <c r="M24" s="1599"/>
      <c r="N24" s="1599"/>
      <c r="O24" s="1599"/>
      <c r="P24" s="1605"/>
      <c r="Q24" s="1599"/>
      <c r="R24" s="1603">
        <f>+F34</f>
        <v>2548.1518987341769</v>
      </c>
      <c r="S24" s="1569" t="str">
        <f>+C34</f>
        <v xml:space="preserve">   Excess DFIT Adjustment  (TCOS, ln 109)</v>
      </c>
      <c r="T24" s="131"/>
      <c r="U24" s="270"/>
    </row>
    <row r="25" spans="1:21">
      <c r="A25" s="325">
        <f t="shared" si="0"/>
        <v>12</v>
      </c>
      <c r="C25" s="1607" t="s">
        <v>373</v>
      </c>
      <c r="D25" s="1607"/>
      <c r="E25" s="1608">
        <f>E23*E24</f>
        <v>0</v>
      </c>
      <c r="F25" s="1599"/>
      <c r="G25" s="1599"/>
      <c r="H25" s="1599"/>
      <c r="I25" s="1599"/>
      <c r="J25" s="1599"/>
      <c r="K25" s="1599"/>
      <c r="L25" s="1589"/>
      <c r="M25" s="1589"/>
      <c r="N25" s="1589"/>
      <c r="O25" s="1589"/>
      <c r="P25" s="1599"/>
      <c r="Q25" s="1589"/>
      <c r="R25" s="1603">
        <f>+F35</f>
        <v>0</v>
      </c>
      <c r="S25" s="1569" t="str">
        <f>+C35</f>
        <v xml:space="preserve">   Tax Effect of Permanent and Flow Through Differences (TCOS, ln 110)</v>
      </c>
      <c r="T25" s="131"/>
      <c r="U25" s="270"/>
    </row>
    <row r="26" spans="1:21">
      <c r="A26" s="325"/>
      <c r="C26" s="1607"/>
      <c r="D26" s="1571"/>
      <c r="E26" s="1571"/>
      <c r="F26" s="1599"/>
      <c r="G26" s="1599"/>
      <c r="H26" s="1599"/>
      <c r="I26" s="1599"/>
      <c r="J26" s="1599"/>
      <c r="K26" s="1599"/>
      <c r="Q26" s="1589"/>
      <c r="R26" s="1603">
        <f>+F42</f>
        <v>156951.63069833507</v>
      </c>
      <c r="S26" s="1569" t="str">
        <f>+C42</f>
        <v xml:space="preserve">   Net Revenue Requirement  (TCOS, ln 117)</v>
      </c>
      <c r="T26" s="131"/>
      <c r="U26" s="270"/>
    </row>
    <row r="27" spans="1:21" ht="15.75">
      <c r="A27" s="325"/>
      <c r="C27" s="725" t="str">
        <f>"C.   Determine Income Taxes using Return with hypothetical "&amp;F12&amp;" basis point ROE increase for Identified Projects."</f>
        <v>C.   Determine Income Taxes using Return with hypothetical 0 basis point ROE increase for Identified Projects.</v>
      </c>
      <c r="D27" s="1609"/>
      <c r="E27" s="1609"/>
      <c r="F27" s="1610"/>
      <c r="G27" s="1610"/>
      <c r="H27" s="1610"/>
      <c r="I27" s="1610"/>
      <c r="J27" s="1610"/>
      <c r="K27" s="1610"/>
      <c r="Q27" s="1611"/>
      <c r="R27" s="1603">
        <f>+F43</f>
        <v>47821.647726348943</v>
      </c>
      <c r="S27" s="1569" t="str">
        <f>+C43</f>
        <v xml:space="preserve">   Return  (TCOS, ln 112)</v>
      </c>
      <c r="T27" s="131"/>
      <c r="U27" s="270"/>
    </row>
    <row r="28" spans="1:21" ht="14.25" customHeight="1">
      <c r="A28" s="325"/>
      <c r="C28" s="27"/>
      <c r="D28" s="1571"/>
      <c r="E28" s="1571"/>
      <c r="F28" s="1599"/>
      <c r="G28" s="1599"/>
      <c r="H28" s="1599"/>
      <c r="I28" s="1599"/>
      <c r="J28" s="1599"/>
      <c r="K28" s="1599"/>
      <c r="L28" s="394"/>
      <c r="M28" s="394"/>
      <c r="N28" s="394"/>
      <c r="O28" s="394"/>
      <c r="P28" s="394"/>
      <c r="Q28" s="1589"/>
      <c r="R28" s="1603">
        <f>+F44</f>
        <v>15767.063971986132</v>
      </c>
      <c r="S28" s="1569" t="str">
        <f>+C44</f>
        <v xml:space="preserve">   Income Taxes  (TCOS, ln 111)</v>
      </c>
      <c r="T28" s="131"/>
      <c r="U28" s="734"/>
    </row>
    <row r="29" spans="1:21" ht="19.5" customHeight="1">
      <c r="A29" s="325">
        <f>+A25+1</f>
        <v>13</v>
      </c>
      <c r="C29" s="1564" t="s">
        <v>374</v>
      </c>
      <c r="D29" s="1591"/>
      <c r="F29" s="1612">
        <f>E25</f>
        <v>0</v>
      </c>
      <c r="G29" s="1599"/>
      <c r="H29" s="1599"/>
      <c r="I29" s="1599"/>
      <c r="J29" s="1599"/>
      <c r="K29" s="1599"/>
      <c r="L29" s="790" t="s">
        <v>125</v>
      </c>
      <c r="M29" s="791" t="s">
        <v>436</v>
      </c>
      <c r="N29" s="792"/>
      <c r="O29" s="792"/>
      <c r="P29" s="848"/>
      <c r="Q29" s="1599"/>
      <c r="R29" s="1603">
        <f>+F45</f>
        <v>0</v>
      </c>
      <c r="S29" s="1569" t="str">
        <f>+C45</f>
        <v xml:space="preserve">  Gross Margin Taxes  (TCOS, ln 116)</v>
      </c>
      <c r="T29" s="131"/>
      <c r="U29" s="270"/>
    </row>
    <row r="30" spans="1:21" ht="18">
      <c r="A30" s="325">
        <f t="shared" si="0"/>
        <v>14</v>
      </c>
      <c r="C30" s="27" t="str">
        <f>"   Tax Rate  (TCOS, ln "&amp;'SWT TCOS'!B168&amp;")"</f>
        <v xml:space="preserve">   Tax Rate  (TCOS, ln 99)</v>
      </c>
      <c r="D30" s="1591"/>
      <c r="F30" s="1613">
        <f>+'SWT TCOS'!G168</f>
        <v>0.26924999999999988</v>
      </c>
      <c r="G30" s="1599"/>
      <c r="H30" s="1599"/>
      <c r="I30" s="1599"/>
      <c r="J30" s="1599"/>
      <c r="K30" s="1599"/>
      <c r="L30" s="1589"/>
      <c r="M30" s="796" t="s">
        <v>424</v>
      </c>
      <c r="N30" s="797"/>
      <c r="O30" s="797"/>
      <c r="P30" s="848"/>
      <c r="Q30" s="1599"/>
      <c r="R30" s="1603">
        <f>+F55</f>
        <v>0</v>
      </c>
      <c r="S30" s="1569" t="str">
        <f>+C55</f>
        <v xml:space="preserve">   Less: Depreciation  (TCOS, ln 86)</v>
      </c>
      <c r="T30" s="131"/>
      <c r="U30" s="270"/>
    </row>
    <row r="31" spans="1:21">
      <c r="A31" s="325">
        <f t="shared" si="0"/>
        <v>15</v>
      </c>
      <c r="C31" s="1564" t="s">
        <v>196</v>
      </c>
      <c r="F31" s="1570">
        <f>IF(F16&gt;0,($F30/(1-$F30))*(1-$F16/$F19),0)</f>
        <v>0</v>
      </c>
      <c r="L31" s="394"/>
      <c r="M31" s="394"/>
      <c r="N31" s="394"/>
      <c r="O31" s="394"/>
      <c r="P31" s="394"/>
      <c r="R31" s="1602">
        <f>+F61</f>
        <v>0</v>
      </c>
      <c r="S31" s="1569" t="str">
        <f>+C61</f>
        <v xml:space="preserve">       Apportionment Factor to Texas (Worksheet K, ln 12)</v>
      </c>
      <c r="T31" s="131"/>
      <c r="U31" s="270"/>
    </row>
    <row r="32" spans="1:21">
      <c r="A32" s="325">
        <f t="shared" si="0"/>
        <v>16</v>
      </c>
      <c r="C32" s="1607" t="s">
        <v>197</v>
      </c>
      <c r="F32" s="1614">
        <f>F29*F31</f>
        <v>0</v>
      </c>
      <c r="L32" s="394"/>
      <c r="M32" s="394"/>
      <c r="N32" s="394"/>
      <c r="O32" s="394"/>
      <c r="P32" s="394"/>
      <c r="R32" s="1603">
        <f>+F71</f>
        <v>7.6923076923076925E-7</v>
      </c>
      <c r="S32" s="1569" t="str">
        <f>+C71</f>
        <v xml:space="preserve">   Net Transmission Plant  (TCOS, ln 37)</v>
      </c>
      <c r="T32" s="131"/>
      <c r="U32" s="1617"/>
    </row>
    <row r="33" spans="1:21" ht="15">
      <c r="A33" s="325">
        <f t="shared" si="0"/>
        <v>17</v>
      </c>
      <c r="C33" s="27" t="str">
        <f>"   ITC Adjustment  (TCOS, ln "&amp;'SWT TCOS'!B178&amp;")"</f>
        <v xml:space="preserve">   ITC Adjustment  (TCOS, ln 108)</v>
      </c>
      <c r="D33" s="350"/>
      <c r="F33" s="1599">
        <f>+'SWT TCOS'!L178</f>
        <v>0</v>
      </c>
      <c r="G33" s="350"/>
      <c r="H33" s="350"/>
      <c r="I33" s="350"/>
      <c r="J33" s="350"/>
      <c r="K33" s="350"/>
      <c r="L33" s="394"/>
      <c r="M33" s="394"/>
      <c r="N33" s="394"/>
      <c r="O33" s="394"/>
      <c r="P33" s="394"/>
      <c r="Q33" s="350"/>
      <c r="R33" s="1602">
        <f>+F77</f>
        <v>204037119907.83557</v>
      </c>
      <c r="S33" s="1711" t="str">
        <f>+C77</f>
        <v xml:space="preserve">   FCR less Depreciation  (TCOS, ln 10)</v>
      </c>
      <c r="T33" s="131"/>
      <c r="U33" s="734"/>
    </row>
    <row r="34" spans="1:21" ht="15">
      <c r="A34" s="325">
        <f t="shared" si="0"/>
        <v>18</v>
      </c>
      <c r="C34" s="27" t="str">
        <f>"   Excess DFIT Adjustment  (TCOS, ln "&amp;'SWT TCOS'!B179&amp;")"</f>
        <v xml:space="preserve">   Excess DFIT Adjustment  (TCOS, ln 109)</v>
      </c>
      <c r="D34" s="350"/>
      <c r="F34" s="1599">
        <f>+'SWT TCOS'!L179</f>
        <v>2548.1518987341769</v>
      </c>
      <c r="G34" s="350"/>
      <c r="H34" s="350"/>
      <c r="I34" s="350"/>
      <c r="J34" s="350"/>
      <c r="K34" s="350"/>
      <c r="L34" s="394"/>
      <c r="M34" s="394"/>
      <c r="N34" s="394"/>
      <c r="O34" s="394"/>
      <c r="P34" s="394"/>
      <c r="Q34" s="350"/>
      <c r="R34" s="1712">
        <f>+F81</f>
        <v>7.6923076923076925E-7</v>
      </c>
      <c r="S34" s="1713" t="str">
        <f>+C81</f>
        <v>Transmission Plant Average Balance for 2022 (WS A-1 Ln 14 Col (d))</v>
      </c>
      <c r="T34" s="131"/>
      <c r="U34" s="734"/>
    </row>
    <row r="35" spans="1:21" ht="15.75" thickBot="1">
      <c r="A35" s="325">
        <f t="shared" si="0"/>
        <v>19</v>
      </c>
      <c r="C35" s="27" t="str">
        <f>"   Tax Effect of Permanent and Flow Through Differences (TCOS, ln "&amp;'SWT TCOS'!B180&amp;")"</f>
        <v xml:space="preserve">   Tax Effect of Permanent and Flow Through Differences (TCOS, ln 110)</v>
      </c>
      <c r="D35" s="350"/>
      <c r="F35" s="1599">
        <f>+'SWT TCOS'!L180</f>
        <v>0</v>
      </c>
      <c r="G35" s="350"/>
      <c r="H35" s="350"/>
      <c r="I35" s="350"/>
      <c r="J35" s="350"/>
      <c r="K35" s="350"/>
      <c r="L35" s="394"/>
      <c r="M35" s="394"/>
      <c r="N35" s="394"/>
      <c r="O35" s="394"/>
      <c r="P35" s="394"/>
      <c r="Q35" s="350"/>
      <c r="R35" s="1714">
        <f>+F82</f>
        <v>0</v>
      </c>
      <c r="S35" s="1715" t="str">
        <f>+C82</f>
        <v>Annual Depreciation Expense  (TCOS, ln 86)</v>
      </c>
      <c r="T35" s="131"/>
      <c r="U35" s="734"/>
    </row>
    <row r="36" spans="1:21" ht="15">
      <c r="A36" s="325">
        <f t="shared" si="0"/>
        <v>20</v>
      </c>
      <c r="C36" s="1607" t="s">
        <v>375</v>
      </c>
      <c r="D36" s="350"/>
      <c r="F36" s="1619">
        <f>+SUM(F32:F35)</f>
        <v>2548.1518987341769</v>
      </c>
      <c r="G36" s="350"/>
      <c r="H36" s="350"/>
      <c r="I36" s="350"/>
      <c r="J36" s="350"/>
      <c r="K36" s="350"/>
      <c r="L36" s="778"/>
      <c r="M36" s="778"/>
      <c r="N36" s="778"/>
      <c r="O36" s="778"/>
      <c r="P36" s="778"/>
      <c r="Q36" s="350"/>
      <c r="R36" s="1716"/>
      <c r="S36" s="270"/>
      <c r="T36" s="131"/>
    </row>
    <row r="37" spans="1:21" ht="12.75" customHeight="1">
      <c r="A37" s="325"/>
      <c r="C37" s="314"/>
      <c r="D37" s="350"/>
      <c r="E37" s="350"/>
      <c r="F37" s="350"/>
      <c r="G37" s="350"/>
      <c r="H37" s="350"/>
      <c r="I37" s="350"/>
      <c r="J37" s="350"/>
      <c r="K37" s="350"/>
      <c r="L37" s="778"/>
      <c r="M37" s="778"/>
      <c r="N37" s="778"/>
      <c r="O37" s="778"/>
      <c r="P37" s="778"/>
      <c r="Q37" s="350"/>
      <c r="R37" s="276"/>
      <c r="T37" s="131"/>
    </row>
    <row r="38" spans="1:21" ht="18.75">
      <c r="A38" s="325"/>
      <c r="B38" s="723" t="s">
        <v>308</v>
      </c>
      <c r="C38" s="721" t="str">
        <f>"Calculate Net Plant Carrying Charge Rate (Fixed Charge Rate or FCR) with hypothetical "&amp;F12&amp;" basis point"</f>
        <v>Calculate Net Plant Carrying Charge Rate (Fixed Charge Rate or FCR) with hypothetical 0 basis point</v>
      </c>
      <c r="D38" s="350"/>
      <c r="E38" s="350"/>
      <c r="F38" s="350"/>
      <c r="G38" s="350"/>
      <c r="H38" s="350"/>
      <c r="I38" s="350"/>
      <c r="J38" s="350"/>
      <c r="K38" s="350"/>
      <c r="L38" s="778"/>
      <c r="M38" s="778"/>
      <c r="N38" s="778"/>
      <c r="O38" s="778"/>
      <c r="P38" s="778"/>
      <c r="Q38" s="350"/>
      <c r="R38" s="276"/>
      <c r="T38" s="131"/>
    </row>
    <row r="39" spans="1:21" ht="18.75" customHeight="1">
      <c r="A39" s="325"/>
      <c r="B39" s="723"/>
      <c r="C39" s="721" t="str">
        <f>"ROE increase."</f>
        <v>ROE increase.</v>
      </c>
      <c r="D39" s="350"/>
      <c r="E39" s="350"/>
      <c r="F39" s="350"/>
      <c r="G39" s="350"/>
      <c r="H39" s="350"/>
      <c r="I39" s="350"/>
      <c r="J39" s="350"/>
      <c r="K39" s="350"/>
      <c r="L39" s="350"/>
      <c r="M39" s="350"/>
      <c r="N39" s="350"/>
      <c r="O39" s="350"/>
      <c r="P39" s="286"/>
      <c r="Q39" s="350"/>
      <c r="R39" s="572" t="s">
        <v>164</v>
      </c>
      <c r="S39" s="720" t="s">
        <v>431</v>
      </c>
    </row>
    <row r="40" spans="1:21" ht="12.75" customHeight="1">
      <c r="A40" s="325"/>
      <c r="C40" s="314"/>
      <c r="D40" s="350"/>
      <c r="E40" s="350"/>
      <c r="F40" s="350"/>
      <c r="G40" s="350"/>
      <c r="H40" s="350"/>
      <c r="I40" s="350"/>
      <c r="J40" s="350"/>
      <c r="K40" s="350"/>
      <c r="P40" s="286"/>
      <c r="Q40" s="350"/>
      <c r="R40" s="276"/>
    </row>
    <row r="41" spans="1:21" ht="15.75">
      <c r="A41" s="325"/>
      <c r="C41" s="725" t="s">
        <v>146</v>
      </c>
      <c r="D41" s="350"/>
      <c r="E41" s="350"/>
      <c r="F41" s="83"/>
      <c r="G41" s="83"/>
      <c r="H41" s="350"/>
      <c r="I41" s="350"/>
      <c r="J41" s="350"/>
      <c r="K41" s="350"/>
      <c r="P41" s="286"/>
      <c r="Q41" s="350"/>
      <c r="R41" s="720" t="s">
        <v>165</v>
      </c>
      <c r="S41" s="720" t="s">
        <v>431</v>
      </c>
    </row>
    <row r="42" spans="1:21" ht="12.75" customHeight="1">
      <c r="A42" s="325">
        <f>+A36+1</f>
        <v>21</v>
      </c>
      <c r="C42" s="27" t="str">
        <f>"   Net Revenue Requirement  (TCOS, ln "&amp;'SWT TCOS'!B193&amp;")"</f>
        <v xml:space="preserve">   Net Revenue Requirement  (TCOS, ln 117)</v>
      </c>
      <c r="D42" s="1620"/>
      <c r="E42" s="1620"/>
      <c r="F42" s="1599">
        <f>+'SWT TCOS'!L193</f>
        <v>156951.63069833507</v>
      </c>
      <c r="G42" s="1599"/>
      <c r="H42" s="1620"/>
      <c r="I42" s="1620"/>
      <c r="J42" s="1620"/>
      <c r="K42" s="1620"/>
      <c r="L42" s="1620"/>
      <c r="M42" s="1620"/>
      <c r="N42" s="1620"/>
      <c r="O42" s="1620"/>
      <c r="P42" s="1599"/>
      <c r="Q42" s="1620"/>
      <c r="R42" s="720"/>
      <c r="S42" s="572"/>
    </row>
    <row r="43" spans="1:21">
      <c r="A43" s="325">
        <f t="shared" si="0"/>
        <v>22</v>
      </c>
      <c r="C43" s="27" t="str">
        <f>"   Return  (TCOS, ln "&amp;'SWT TCOS'!B184&amp;")"</f>
        <v xml:space="preserve">   Return  (TCOS, ln 112)</v>
      </c>
      <c r="D43" s="1620"/>
      <c r="E43" s="1620"/>
      <c r="F43" s="1589">
        <f>+'SWT TCOS'!L184</f>
        <v>47821.647726348943</v>
      </c>
      <c r="G43" s="1589"/>
      <c r="H43" s="1623"/>
      <c r="I43" s="1623"/>
      <c r="J43" s="1623"/>
      <c r="K43" s="1623"/>
      <c r="L43" s="1623"/>
      <c r="M43" s="1623"/>
      <c r="N43" s="1623"/>
      <c r="O43" s="1623"/>
      <c r="P43" s="1599"/>
      <c r="Q43" s="1623"/>
      <c r="R43" s="720"/>
      <c r="S43" s="572"/>
    </row>
    <row r="44" spans="1:21">
      <c r="A44" s="325">
        <f t="shared" si="0"/>
        <v>23</v>
      </c>
      <c r="C44" s="27" t="str">
        <f>"   Income Taxes  (TCOS, ln "&amp;'SWT TCOS'!B182&amp;")"</f>
        <v xml:space="preserve">   Income Taxes  (TCOS, ln 111)</v>
      </c>
      <c r="D44" s="1620"/>
      <c r="E44" s="1620"/>
      <c r="F44" s="1599">
        <f>+'SWT TCOS'!L182</f>
        <v>15767.063971986132</v>
      </c>
      <c r="G44" s="1599"/>
      <c r="H44" s="1620"/>
      <c r="I44" s="1620"/>
      <c r="J44" s="1620"/>
      <c r="K44" s="1620"/>
      <c r="L44" s="1626"/>
      <c r="M44" s="1626"/>
      <c r="N44" s="1626"/>
      <c r="O44" s="1626"/>
      <c r="P44" s="1620"/>
      <c r="Q44" s="1626"/>
      <c r="R44" s="726" t="s">
        <v>161</v>
      </c>
      <c r="S44" s="720" t="s">
        <v>70</v>
      </c>
    </row>
    <row r="45" spans="1:21" ht="13.5" thickBot="1">
      <c r="A45" s="325">
        <f t="shared" si="0"/>
        <v>24</v>
      </c>
      <c r="C45" s="27" t="str">
        <f>"  Gross Margin Taxes  (TCOS, ln "&amp;'SWT TCOS'!B191&amp;")"</f>
        <v xml:space="preserve">  Gross Margin Taxes  (TCOS, ln 116)</v>
      </c>
      <c r="D45" s="1620"/>
      <c r="E45" s="1620"/>
      <c r="F45" s="1627">
        <f>+'SWT TCOS'!L191</f>
        <v>0</v>
      </c>
      <c r="G45" s="1599"/>
      <c r="H45" s="1620"/>
      <c r="I45" s="1620"/>
      <c r="J45" s="1620"/>
      <c r="K45" s="1620"/>
      <c r="L45" s="1626"/>
      <c r="M45" s="1626"/>
      <c r="N45" s="1626"/>
      <c r="O45" s="1626"/>
      <c r="P45" s="1620"/>
      <c r="Q45" s="1626"/>
      <c r="R45" s="720" t="s">
        <v>432</v>
      </c>
    </row>
    <row r="46" spans="1:21">
      <c r="A46" s="325">
        <f t="shared" si="0"/>
        <v>25</v>
      </c>
      <c r="C46" s="270" t="s">
        <v>23</v>
      </c>
      <c r="D46" s="1620"/>
      <c r="E46" s="1620"/>
      <c r="F46" s="1589">
        <f>F42-F43-F44-F45</f>
        <v>93362.91899999998</v>
      </c>
      <c r="G46" s="1589"/>
      <c r="H46" s="7"/>
      <c r="I46" s="1620"/>
      <c r="J46" s="1620"/>
      <c r="K46" s="1620"/>
      <c r="L46" s="7"/>
      <c r="M46" s="7"/>
      <c r="N46" s="7"/>
      <c r="O46" s="7"/>
      <c r="P46" s="7"/>
      <c r="Q46" s="7"/>
      <c r="R46" s="815"/>
      <c r="S46" s="276" t="str">
        <f>+L18&amp;" "&amp;N16</f>
        <v>∑ True Up Year Projected  WS-F   Rev Require</v>
      </c>
    </row>
    <row r="47" spans="1:21">
      <c r="A47" s="325"/>
      <c r="C47" s="27"/>
      <c r="D47" s="1620"/>
      <c r="E47" s="1620"/>
      <c r="F47" s="1599"/>
      <c r="G47" s="1599"/>
      <c r="H47" s="1628"/>
      <c r="I47" s="1629"/>
      <c r="J47" s="1629"/>
      <c r="K47" s="1629"/>
      <c r="L47" s="1629"/>
      <c r="M47" s="1629"/>
      <c r="N47" s="1629"/>
      <c r="O47" s="1629"/>
      <c r="P47" s="1629"/>
      <c r="Q47" s="1629"/>
      <c r="R47" s="817"/>
      <c r="S47" s="276" t="str">
        <f>+L18&amp;" "&amp;O16</f>
        <v>∑ True Up Year Projected  WS-F    With Incentives</v>
      </c>
    </row>
    <row r="48" spans="1:21" ht="15.75">
      <c r="A48" s="325"/>
      <c r="C48" s="725" t="str">
        <f>"B.   Determine Net Revenue Requirement with hypothetical "&amp;F12&amp;" basis point increase in ROE."</f>
        <v>B.   Determine Net Revenue Requirement with hypothetical 0 basis point increase in ROE.</v>
      </c>
      <c r="D48" s="1564"/>
      <c r="E48" s="1564"/>
      <c r="F48" s="1599"/>
      <c r="G48" s="1599"/>
      <c r="H48" s="1628"/>
      <c r="I48" s="1629"/>
      <c r="J48" s="1629"/>
      <c r="K48" s="1629"/>
      <c r="L48" s="1629"/>
      <c r="M48" s="1629"/>
      <c r="N48" s="1629"/>
      <c r="O48" s="1629"/>
      <c r="P48" s="1629"/>
      <c r="Q48" s="1629"/>
      <c r="R48" s="1717"/>
      <c r="S48" s="276" t="str">
        <f>+L19&amp;" "&amp;N16</f>
        <v>∑ True-Up Year True-Up WS-G   Rev Require</v>
      </c>
    </row>
    <row r="49" spans="1:19" ht="13.5" thickBot="1">
      <c r="A49" s="325">
        <f>+A46+1</f>
        <v>26</v>
      </c>
      <c r="C49" s="27" t="str">
        <f>C46</f>
        <v xml:space="preserve">   Net Revenue Requirement, Less Return and Taxes</v>
      </c>
      <c r="D49" s="1564"/>
      <c r="E49" s="1564"/>
      <c r="F49" s="1599">
        <f>F46</f>
        <v>93362.91899999998</v>
      </c>
      <c r="G49" s="1599"/>
      <c r="H49" s="1628"/>
      <c r="I49" s="1629"/>
      <c r="J49" s="1629"/>
      <c r="K49" s="1629"/>
      <c r="L49" s="1629"/>
      <c r="M49" s="1629"/>
      <c r="N49" s="1629"/>
      <c r="O49" s="1629"/>
      <c r="P49" s="1629"/>
      <c r="Q49" s="1629"/>
      <c r="R49" s="818"/>
      <c r="S49" s="276" t="str">
        <f>+L19&amp;" "&amp;O16</f>
        <v>∑ True-Up Year True-Up WS-G    With Incentives</v>
      </c>
    </row>
    <row r="50" spans="1:19">
      <c r="A50" s="325">
        <f t="shared" ref="A50:A56" si="1">+A49+1</f>
        <v>27</v>
      </c>
      <c r="C50" s="1564" t="s">
        <v>383</v>
      </c>
      <c r="D50" s="1630"/>
      <c r="E50" s="270"/>
      <c r="F50" s="1631">
        <f>E25</f>
        <v>0</v>
      </c>
      <c r="G50" s="1599"/>
      <c r="H50" s="1620"/>
      <c r="I50" s="1620"/>
      <c r="J50" s="1620"/>
      <c r="K50" s="1620"/>
      <c r="L50" s="1620"/>
      <c r="M50" s="1620"/>
      <c r="N50" s="1620"/>
      <c r="O50" s="1620"/>
      <c r="P50" s="821"/>
      <c r="Q50" s="1620"/>
    </row>
    <row r="51" spans="1:19">
      <c r="A51" s="325">
        <f t="shared" si="1"/>
        <v>28</v>
      </c>
      <c r="C51" s="27" t="s">
        <v>376</v>
      </c>
      <c r="D51" s="1620"/>
      <c r="E51" s="1620"/>
      <c r="F51" s="824">
        <f>F36</f>
        <v>2548.1518987341769</v>
      </c>
      <c r="G51" s="1631"/>
      <c r="H51" s="270"/>
      <c r="I51" s="1382"/>
      <c r="J51" s="1382"/>
      <c r="K51" s="1382"/>
      <c r="L51" s="270"/>
      <c r="M51" s="270"/>
      <c r="N51" s="270"/>
      <c r="O51" s="270"/>
      <c r="P51" s="270"/>
    </row>
    <row r="52" spans="1:19" ht="12.75" customHeight="1">
      <c r="A52" s="325">
        <f t="shared" si="1"/>
        <v>29</v>
      </c>
      <c r="C52" s="270" t="str">
        <f>"   Net Revenue Requirement, with "&amp;F12&amp;" Basis Point ROE increase"</f>
        <v xml:space="preserve">   Net Revenue Requirement, with 0 Basis Point ROE increase</v>
      </c>
      <c r="F52" s="1614">
        <f>SUM(F49:F51)</f>
        <v>95911.07089873415</v>
      </c>
      <c r="G52" s="825"/>
    </row>
    <row r="53" spans="1:19">
      <c r="A53" s="325">
        <f t="shared" si="1"/>
        <v>30</v>
      </c>
      <c r="C53" s="1617" t="str">
        <f>"   Gross Margin Tax with "&amp;F87&amp;" Basis Point ROE Increase (II C. below)"</f>
        <v xml:space="preserve">   Gross Margin Tax with  Basis Point ROE Increase (II C. below)</v>
      </c>
      <c r="D53" s="323"/>
      <c r="E53" s="323"/>
      <c r="F53" s="1632">
        <f>+F68</f>
        <v>0</v>
      </c>
      <c r="G53" s="1614"/>
    </row>
    <row r="54" spans="1:19">
      <c r="A54" s="325">
        <f t="shared" si="1"/>
        <v>31</v>
      </c>
      <c r="C54" s="270" t="s">
        <v>24</v>
      </c>
      <c r="F54" s="1631">
        <f>+F52+F53</f>
        <v>95911.07089873415</v>
      </c>
      <c r="G54" s="1631"/>
    </row>
    <row r="55" spans="1:19">
      <c r="A55" s="325">
        <f t="shared" si="1"/>
        <v>32</v>
      </c>
      <c r="C55" s="27" t="str">
        <f>"   Less: Depreciation  (TCOS, ln "&amp;'SWT TCOS'!B153&amp;")"</f>
        <v xml:space="preserve">   Less: Depreciation  (TCOS, ln 86)</v>
      </c>
      <c r="F55" s="827">
        <f>+'SWT TCOS'!L153</f>
        <v>0</v>
      </c>
      <c r="G55" s="1631"/>
    </row>
    <row r="56" spans="1:19">
      <c r="A56" s="325">
        <f t="shared" si="1"/>
        <v>33</v>
      </c>
      <c r="C56" s="270" t="str">
        <f>"   Net Rev. Req, w/"&amp;F12&amp;" Basis Point ROE increase, less Depreciation"</f>
        <v xml:space="preserve">   Net Rev. Req, w/0 Basis Point ROE increase, less Depreciation</v>
      </c>
      <c r="F56" s="1614">
        <f>F54-F55</f>
        <v>95911.07089873415</v>
      </c>
      <c r="G56" s="827"/>
    </row>
    <row r="57" spans="1:19">
      <c r="A57" s="325"/>
      <c r="G57" s="1614"/>
    </row>
    <row r="58" spans="1:19" ht="15.75">
      <c r="A58" s="325"/>
      <c r="C58" s="725" t="str">
        <f>"C.   Determine Gross Margin Tax with hypothetical "&amp;F12&amp;" basis point increase in ROE."</f>
        <v>C.   Determine Gross Margin Tax with hypothetical 0 basis point increase in ROE.</v>
      </c>
      <c r="D58" s="323"/>
      <c r="E58" s="323"/>
      <c r="F58" s="1614"/>
    </row>
    <row r="59" spans="1:19">
      <c r="A59" s="325">
        <f>+A56+1</f>
        <v>34</v>
      </c>
      <c r="C59" s="1617" t="str">
        <f>"   Net Revenue Requirement before Gross Margin Taxes, with "&amp;F12&amp;" "</f>
        <v xml:space="preserve">   Net Revenue Requirement before Gross Margin Taxes, with 0 </v>
      </c>
      <c r="D59" s="323"/>
      <c r="E59" s="323"/>
      <c r="F59" s="1614">
        <f>+F52</f>
        <v>95911.07089873415</v>
      </c>
      <c r="G59" s="1614"/>
    </row>
    <row r="60" spans="1:19">
      <c r="A60" s="325">
        <f t="shared" ref="A60:A68" si="2">+A59+1</f>
        <v>35</v>
      </c>
      <c r="C60" s="1617" t="s">
        <v>25</v>
      </c>
      <c r="D60" s="323"/>
      <c r="E60" s="323"/>
      <c r="F60" s="1614"/>
      <c r="G60" s="1614"/>
    </row>
    <row r="61" spans="1:19">
      <c r="A61" s="325">
        <f t="shared" si="2"/>
        <v>36</v>
      </c>
      <c r="C61" s="270" t="str">
        <f>"       Apportionment Factor to Texas (Worksheet K, ln "&amp;'SWT WS K State Taxes'!A53&amp;")"</f>
        <v xml:space="preserve">       Apportionment Factor to Texas (Worksheet K, ln 12)</v>
      </c>
      <c r="F61" s="1633">
        <f>+'SWT WS K State Taxes'!E53</f>
        <v>0</v>
      </c>
      <c r="G61" s="1614"/>
    </row>
    <row r="62" spans="1:19">
      <c r="A62" s="325">
        <f t="shared" si="2"/>
        <v>37</v>
      </c>
      <c r="C62" s="270" t="s">
        <v>26</v>
      </c>
      <c r="F62" s="1614">
        <f>+F61*F59</f>
        <v>0</v>
      </c>
      <c r="G62" s="1613"/>
    </row>
    <row r="63" spans="1:19">
      <c r="A63" s="325">
        <f t="shared" si="2"/>
        <v>38</v>
      </c>
      <c r="C63" s="270" t="s">
        <v>661</v>
      </c>
      <c r="F63" s="1634">
        <v>0.22</v>
      </c>
      <c r="G63" s="1614"/>
    </row>
    <row r="64" spans="1:19">
      <c r="A64" s="325">
        <f t="shared" si="2"/>
        <v>39</v>
      </c>
      <c r="C64" s="270" t="s">
        <v>27</v>
      </c>
      <c r="F64" s="1614">
        <f>+F62*F63</f>
        <v>0</v>
      </c>
      <c r="G64" s="1635"/>
    </row>
    <row r="65" spans="1:8">
      <c r="A65" s="325">
        <f t="shared" si="2"/>
        <v>40</v>
      </c>
      <c r="C65" s="270" t="s">
        <v>28</v>
      </c>
      <c r="F65" s="1634">
        <v>0.01</v>
      </c>
      <c r="G65" s="1614"/>
    </row>
    <row r="66" spans="1:8">
      <c r="A66" s="325">
        <f t="shared" si="2"/>
        <v>41</v>
      </c>
      <c r="C66" s="270" t="s">
        <v>29</v>
      </c>
      <c r="F66" s="1614">
        <f>+F64*F65</f>
        <v>0</v>
      </c>
      <c r="G66" s="1635"/>
    </row>
    <row r="67" spans="1:8">
      <c r="A67" s="325">
        <f t="shared" si="2"/>
        <v>42</v>
      </c>
      <c r="C67" s="270" t="s">
        <v>30</v>
      </c>
      <c r="F67" s="1636">
        <f>+ROUND((F66*F63*F61)/(1-F65)*F65,0)</f>
        <v>0</v>
      </c>
      <c r="G67" s="1614"/>
    </row>
    <row r="68" spans="1:8">
      <c r="A68" s="325">
        <f t="shared" si="2"/>
        <v>43</v>
      </c>
      <c r="C68" s="270" t="s">
        <v>31</v>
      </c>
      <c r="F68" s="1614">
        <f>+F66+F67</f>
        <v>0</v>
      </c>
      <c r="G68" s="1532"/>
    </row>
    <row r="69" spans="1:8">
      <c r="A69" s="325"/>
      <c r="G69" s="1614"/>
    </row>
    <row r="70" spans="1:8" ht="15.75">
      <c r="A70" s="325"/>
      <c r="C70" s="725" t="str">
        <f>"D.   Determine FCR with hypothetical "&amp;F12&amp;" basis point ROE increase."</f>
        <v>D.   Determine FCR with hypothetical 0 basis point ROE increase.</v>
      </c>
    </row>
    <row r="71" spans="1:8">
      <c r="A71" s="325">
        <f>+A68+1</f>
        <v>44</v>
      </c>
      <c r="C71" s="27" t="str">
        <f>"   Net Transmission Plant  (TCOS, ln "&amp;'SWT TCOS'!B79&amp;")"</f>
        <v xml:space="preserve">   Net Transmission Plant  (TCOS, ln 37)</v>
      </c>
      <c r="F71" s="1614">
        <f>+'SWT TCOS'!L79</f>
        <v>7.6923076923076925E-7</v>
      </c>
    </row>
    <row r="72" spans="1:8" ht="15">
      <c r="A72" s="325">
        <f>+A71+1</f>
        <v>45</v>
      </c>
      <c r="C72" s="270" t="str">
        <f>"   Net Revenue Requirement, with "&amp;F12&amp;" Basis Point ROE increase"</f>
        <v xml:space="preserve">   Net Revenue Requirement, with 0 Basis Point ROE increase</v>
      </c>
      <c r="F72" s="832">
        <f>+F54</f>
        <v>95911.07089873415</v>
      </c>
      <c r="G72" s="1614"/>
    </row>
    <row r="73" spans="1:8" ht="15">
      <c r="A73" s="325">
        <f>+A72+1</f>
        <v>46</v>
      </c>
      <c r="C73" s="270" t="str">
        <f>"   FCR with "&amp;F12&amp;" Basis Point increase in ROE"</f>
        <v xml:space="preserve">   FCR with 0 Basis Point increase in ROE</v>
      </c>
      <c r="F73" s="358">
        <f>IF(F71=0,0,F72/F71)</f>
        <v>124684392168.35439</v>
      </c>
      <c r="G73" s="832"/>
    </row>
    <row r="74" spans="1:8">
      <c r="A74" s="325"/>
      <c r="G74" s="358"/>
    </row>
    <row r="75" spans="1:8">
      <c r="A75" s="325">
        <f>+A73+1</f>
        <v>47</v>
      </c>
      <c r="C75" s="270" t="str">
        <f>"   Net Rev. Req, w / "&amp;F12&amp;" Basis Point ROE increase, less Dep."</f>
        <v xml:space="preserve">   Net Rev. Req, w / 0 Basis Point ROE increase, less Dep.</v>
      </c>
      <c r="F75" s="1614">
        <f>+F56</f>
        <v>95911.07089873415</v>
      </c>
      <c r="H75" s="358"/>
    </row>
    <row r="76" spans="1:8">
      <c r="A76" s="325">
        <f t="shared" ref="A76:A85" si="3">+A75+1</f>
        <v>48</v>
      </c>
      <c r="C76" s="270" t="str">
        <f>"   FCR with "&amp;F12&amp;" Basis Point ROE increase, less Depreciation"</f>
        <v xml:space="preserve">   FCR with 0 Basis Point ROE increase, less Depreciation</v>
      </c>
      <c r="F76" s="358">
        <f>IF(F71=0,0,F75/F71)</f>
        <v>124684392168.35439</v>
      </c>
      <c r="G76" s="1614"/>
    </row>
    <row r="77" spans="1:8">
      <c r="A77" s="325">
        <f t="shared" si="3"/>
        <v>49</v>
      </c>
      <c r="C77" s="27" t="str">
        <f>"   FCR less Depreciation  (TCOS, ln "&amp;'SWT TCOS'!B30&amp;")"</f>
        <v xml:space="preserve">   FCR less Depreciation  (TCOS, ln 10)</v>
      </c>
      <c r="F77" s="833">
        <f>+'SWT TCOS'!L30</f>
        <v>204037119907.83557</v>
      </c>
      <c r="G77" s="358"/>
      <c r="H77" s="1614"/>
    </row>
    <row r="78" spans="1:8">
      <c r="A78" s="325">
        <f t="shared" si="3"/>
        <v>50</v>
      </c>
      <c r="C78" s="270" t="str">
        <f>"   Incremental FCR with "&amp;F12&amp;" Basis Point ROE increase, less Depreciation"</f>
        <v xml:space="preserve">   Incremental FCR with 0 Basis Point ROE increase, less Depreciation</v>
      </c>
      <c r="F78" s="358">
        <f>F76-F77</f>
        <v>-79352727739.481186</v>
      </c>
      <c r="G78" s="833"/>
      <c r="H78" s="1637"/>
    </row>
    <row r="79" spans="1:8">
      <c r="A79" s="325"/>
      <c r="C79" s="270"/>
      <c r="F79" s="358"/>
      <c r="G79" s="358"/>
    </row>
    <row r="80" spans="1:8" ht="18.75">
      <c r="A80" s="325"/>
      <c r="B80" s="723" t="s">
        <v>309</v>
      </c>
      <c r="C80" s="721" t="s">
        <v>377</v>
      </c>
      <c r="F80" s="358"/>
      <c r="G80" s="358"/>
    </row>
    <row r="81" spans="1:16" ht="12.75" customHeight="1">
      <c r="A81" s="325">
        <f>+A78+1</f>
        <v>51</v>
      </c>
      <c r="C81" s="270" t="str">
        <f>"Transmission Plant Average Balance for "&amp;'SWT TCOS'!$N$2&amp;" (WS A-1 Ln "&amp;'SWT WS A-1 - Plant'!A24&amp;" Col "&amp;'SWT WS A-1 - Plant'!E9&amp;")"</f>
        <v>Transmission Plant Average Balance for 2022 (WS A-1 Ln 14 Col (d))</v>
      </c>
      <c r="F81" s="1382">
        <f>+'SWT WS A-1 - Plant'!E24</f>
        <v>7.6923076923076925E-7</v>
      </c>
      <c r="G81" s="1350"/>
    </row>
    <row r="82" spans="1:16">
      <c r="A82" s="325">
        <f t="shared" si="3"/>
        <v>52</v>
      </c>
      <c r="C82" s="27" t="str">
        <f>"Annual Depreciation Expense  (TCOS, ln "&amp;'SWT TCOS'!B153&amp;")"</f>
        <v>Annual Depreciation Expense  (TCOS, ln 86)</v>
      </c>
      <c r="F82" s="1382">
        <f>+'SWT TCOS'!G153</f>
        <v>0</v>
      </c>
      <c r="G82" s="1382"/>
    </row>
    <row r="83" spans="1:16">
      <c r="A83" s="325">
        <f t="shared" si="3"/>
        <v>53</v>
      </c>
      <c r="C83" s="270" t="s">
        <v>378</v>
      </c>
      <c r="F83" s="358">
        <f>IF(F81=0,0,F82/F81)</f>
        <v>0</v>
      </c>
      <c r="G83" s="1382"/>
    </row>
    <row r="84" spans="1:16">
      <c r="A84" s="325">
        <f t="shared" si="3"/>
        <v>54</v>
      </c>
      <c r="C84" s="270" t="s">
        <v>379</v>
      </c>
      <c r="F84" s="1638">
        <f>IF(F83=0,0,1/F83)</f>
        <v>0</v>
      </c>
      <c r="G84" s="358"/>
      <c r="I84" s="1471"/>
      <c r="J84" s="1471"/>
      <c r="K84" s="1471"/>
    </row>
    <row r="85" spans="1:16">
      <c r="A85" s="325">
        <f t="shared" si="3"/>
        <v>55</v>
      </c>
      <c r="C85" s="270" t="s">
        <v>380</v>
      </c>
      <c r="F85" s="1484">
        <f>ROUND(F84,0)</f>
        <v>0</v>
      </c>
      <c r="G85" s="1638"/>
    </row>
    <row r="86" spans="1:16">
      <c r="A86" s="325"/>
      <c r="C86" s="27"/>
      <c r="D86" s="1564"/>
      <c r="E86" s="1564"/>
      <c r="F86" s="1599"/>
      <c r="G86" s="1484"/>
    </row>
    <row r="87" spans="1:16">
      <c r="C87" s="270"/>
      <c r="F87" s="1484"/>
      <c r="G87" s="1484"/>
    </row>
    <row r="89" spans="1:16" ht="20.25">
      <c r="A89" s="1718" t="str">
        <f>"Worksheet G  --  "&amp;'SWT TCOS'!F8&amp;"--  Calculation of Trued-Up ARR for SPP Base Plan Upgrade Projects"</f>
        <v>Worksheet G  --  AEP SOUTHWESTERN TRANSMISSION COMPANY--  Calculation of Trued-Up ARR for SPP Base Plan Upgrade Projects</v>
      </c>
      <c r="B89" s="1625"/>
      <c r="C89" s="1719"/>
      <c r="D89" s="1720"/>
      <c r="E89" s="1625"/>
      <c r="F89" s="1721"/>
      <c r="G89" s="1721"/>
      <c r="H89" s="1625"/>
      <c r="I89" s="1641"/>
      <c r="J89" s="1625"/>
      <c r="K89" s="1722"/>
      <c r="L89" s="1723"/>
      <c r="M89" s="1723"/>
      <c r="N89" s="1625"/>
      <c r="O89" s="1625"/>
      <c r="P89" s="1723"/>
    </row>
    <row r="90" spans="1:16" ht="18">
      <c r="A90" s="1625"/>
      <c r="B90" s="1625"/>
      <c r="C90" s="1625"/>
      <c r="D90" s="1720"/>
      <c r="E90" s="1625"/>
      <c r="F90" s="1625"/>
      <c r="G90" s="1625"/>
      <c r="H90" s="1625"/>
      <c r="I90" s="1641"/>
      <c r="J90" s="1625"/>
      <c r="K90" s="1722"/>
      <c r="L90" s="1625"/>
      <c r="M90" s="1625"/>
      <c r="N90" s="1625"/>
      <c r="O90" s="1625"/>
      <c r="P90" s="1724"/>
    </row>
    <row r="91" spans="1:16" ht="18.75" thickBot="1">
      <c r="A91" s="1625"/>
      <c r="B91" s="1725" t="s">
        <v>310</v>
      </c>
      <c r="C91" s="1726" t="s">
        <v>479</v>
      </c>
      <c r="D91" s="1720"/>
      <c r="E91" s="1625"/>
      <c r="F91" s="1625"/>
      <c r="G91" s="1625"/>
      <c r="H91" s="1625"/>
      <c r="I91" s="1641"/>
      <c r="J91" s="1641"/>
      <c r="K91" s="1642"/>
      <c r="L91" s="1641"/>
      <c r="M91" s="1641"/>
      <c r="N91" s="1641"/>
      <c r="O91" s="1642"/>
      <c r="P91" s="1625"/>
    </row>
    <row r="92" spans="1:16" ht="15.75" thickBot="1">
      <c r="A92" s="1625"/>
      <c r="B92" s="1625"/>
      <c r="C92" s="314"/>
      <c r="D92" s="1720"/>
      <c r="E92" s="1625"/>
      <c r="F92" s="1625"/>
      <c r="G92" s="1625"/>
      <c r="H92" s="1625"/>
      <c r="I92" s="1641"/>
      <c r="J92" s="1641"/>
      <c r="K92" s="1642"/>
      <c r="L92" s="1727">
        <f>+M17</f>
        <v>2016</v>
      </c>
      <c r="M92" s="1728" t="s">
        <v>368</v>
      </c>
      <c r="N92" s="1729" t="s">
        <v>480</v>
      </c>
      <c r="O92" s="1730" t="s">
        <v>369</v>
      </c>
      <c r="P92" s="1625"/>
    </row>
    <row r="93" spans="1:16" ht="15">
      <c r="A93" s="1625"/>
      <c r="B93" s="1625"/>
      <c r="C93" s="1624" t="s">
        <v>443</v>
      </c>
      <c r="D93" s="1720"/>
      <c r="E93" s="1625"/>
      <c r="F93" s="1625"/>
      <c r="G93" s="1625"/>
      <c r="H93" s="1643"/>
      <c r="I93" s="1731"/>
      <c r="J93" s="1625"/>
      <c r="K93" s="1732"/>
      <c r="L93" s="1733" t="s">
        <v>492</v>
      </c>
      <c r="M93" s="1734"/>
      <c r="N93" s="1734"/>
      <c r="O93" s="1735">
        <v>0</v>
      </c>
      <c r="P93" s="1625"/>
    </row>
    <row r="94" spans="1:16" ht="15.75">
      <c r="A94" s="1625"/>
      <c r="B94" s="1625"/>
      <c r="C94" s="1736"/>
      <c r="D94" s="1720"/>
      <c r="E94" s="1625"/>
      <c r="F94" s="1625"/>
      <c r="G94" s="1625"/>
      <c r="H94" s="1625"/>
      <c r="I94" s="1646"/>
      <c r="J94" s="1646"/>
      <c r="K94" s="1737"/>
      <c r="L94" s="1738" t="s">
        <v>493</v>
      </c>
      <c r="M94" s="1739"/>
      <c r="N94" s="1739"/>
      <c r="O94" s="1740">
        <v>0</v>
      </c>
      <c r="P94" s="1625"/>
    </row>
    <row r="95" spans="1:16" ht="13.5" thickBot="1">
      <c r="A95" s="1625"/>
      <c r="B95" s="1625"/>
      <c r="C95" s="1741" t="s">
        <v>481</v>
      </c>
      <c r="D95" s="859"/>
      <c r="E95" s="859"/>
      <c r="F95" s="1625"/>
      <c r="G95" s="1625"/>
      <c r="H95" s="1625"/>
      <c r="I95" s="1641"/>
      <c r="J95" s="1641"/>
      <c r="K95" s="1689"/>
      <c r="L95" s="1742" t="s">
        <v>482</v>
      </c>
      <c r="M95" s="1743"/>
      <c r="N95" s="1743"/>
      <c r="O95" s="1744">
        <v>0</v>
      </c>
      <c r="P95" s="1625"/>
    </row>
    <row r="96" spans="1:16" ht="13.5" thickBot="1">
      <c r="A96" s="1625"/>
      <c r="B96" s="1625"/>
      <c r="C96" s="1741"/>
      <c r="D96" s="1745" t="s">
        <v>334</v>
      </c>
      <c r="E96" s="1746"/>
      <c r="F96" s="1746"/>
      <c r="G96" s="1746"/>
      <c r="H96" s="1747"/>
      <c r="I96" s="1641"/>
      <c r="J96" s="1641"/>
      <c r="K96" s="1642"/>
      <c r="L96" s="1641"/>
      <c r="M96" s="1641"/>
      <c r="N96" s="1641"/>
      <c r="O96" s="1642"/>
      <c r="P96" s="1625"/>
    </row>
    <row r="97" spans="1:16" ht="13.5" thickBot="1">
      <c r="A97" s="1748"/>
      <c r="B97" s="1625"/>
      <c r="C97" s="1749" t="s">
        <v>483</v>
      </c>
      <c r="D97" s="865"/>
      <c r="E97" s="1653" t="s">
        <v>637</v>
      </c>
      <c r="F97" s="1750"/>
      <c r="G97" s="1750"/>
      <c r="H97" s="1750"/>
      <c r="I97" s="1750"/>
      <c r="J97" s="1750"/>
      <c r="K97" s="1751"/>
      <c r="L97" s="1625"/>
      <c r="M97" s="1625"/>
      <c r="N97" s="1625"/>
      <c r="O97" s="1625"/>
      <c r="P97" s="1752"/>
    </row>
    <row r="98" spans="1:16" ht="15">
      <c r="A98" s="1625"/>
      <c r="B98" s="1625"/>
      <c r="C98" s="1753" t="s">
        <v>447</v>
      </c>
      <c r="D98" s="981"/>
      <c r="E98" s="1719" t="s">
        <v>124</v>
      </c>
      <c r="F98" s="1625"/>
      <c r="G98" s="1625"/>
      <c r="H98" s="1754"/>
      <c r="I98" s="1754"/>
      <c r="J98" s="1755">
        <f>+M17</f>
        <v>2016</v>
      </c>
      <c r="K98" s="1756"/>
      <c r="L98" s="1642" t="s">
        <v>484</v>
      </c>
      <c r="M98" s="1625"/>
      <c r="N98" s="1625"/>
      <c r="O98" s="1625"/>
      <c r="P98" s="1722"/>
    </row>
    <row r="99" spans="1:16" ht="15">
      <c r="A99" s="1625"/>
      <c r="B99" s="1625"/>
      <c r="C99" s="1757" t="s">
        <v>449</v>
      </c>
      <c r="D99" s="986"/>
      <c r="E99" s="1757" t="s">
        <v>450</v>
      </c>
      <c r="F99" s="1754"/>
      <c r="G99" s="1754"/>
      <c r="H99" s="1625"/>
      <c r="I99" s="1625"/>
      <c r="J99" s="1758">
        <v>0</v>
      </c>
      <c r="K99" s="1759"/>
      <c r="L99" s="1625" t="s">
        <v>486</v>
      </c>
      <c r="M99" s="1625"/>
      <c r="N99" s="1625"/>
      <c r="O99" s="1625"/>
      <c r="P99" s="1722"/>
    </row>
    <row r="100" spans="1:16" ht="15">
      <c r="A100" s="1625"/>
      <c r="B100" s="1625"/>
      <c r="C100" s="1757" t="s">
        <v>451</v>
      </c>
      <c r="D100" s="986"/>
      <c r="E100" s="1757" t="s">
        <v>452</v>
      </c>
      <c r="F100" s="1754"/>
      <c r="G100" s="1754"/>
      <c r="H100" s="1625"/>
      <c r="I100" s="1625"/>
      <c r="J100" s="1760">
        <f>+F77</f>
        <v>204037119907.83557</v>
      </c>
      <c r="K100" s="1761"/>
      <c r="L100" s="1625" t="s">
        <v>487</v>
      </c>
      <c r="M100" s="1625"/>
      <c r="N100" s="1625"/>
      <c r="O100" s="1625"/>
      <c r="P100" s="1722"/>
    </row>
    <row r="101" spans="1:16" ht="15">
      <c r="A101" s="1625"/>
      <c r="B101" s="1625"/>
      <c r="C101" s="1757" t="s">
        <v>454</v>
      </c>
      <c r="D101" s="986"/>
      <c r="E101" s="1757" t="s">
        <v>455</v>
      </c>
      <c r="F101" s="1754"/>
      <c r="G101" s="1754"/>
      <c r="H101" s="1625"/>
      <c r="I101" s="1625"/>
      <c r="J101" s="1661">
        <f>IF(H93="",J100,F76)</f>
        <v>204037119907.83557</v>
      </c>
      <c r="K101" s="1762"/>
      <c r="L101" s="1642" t="s">
        <v>456</v>
      </c>
      <c r="M101" s="1762"/>
      <c r="N101" s="1762"/>
      <c r="O101" s="1762"/>
      <c r="P101" s="1722"/>
    </row>
    <row r="102" spans="1:16" ht="15.75" thickBot="1">
      <c r="A102" s="1625"/>
      <c r="B102" s="1625"/>
      <c r="C102" s="1757" t="s">
        <v>457</v>
      </c>
      <c r="D102" s="986"/>
      <c r="E102" s="1763" t="s">
        <v>458</v>
      </c>
      <c r="F102" s="1764"/>
      <c r="G102" s="1764"/>
      <c r="H102" s="1765"/>
      <c r="I102" s="1765"/>
      <c r="J102" s="1652"/>
      <c r="K102" s="1642"/>
      <c r="L102" s="1642"/>
      <c r="M102" s="1642"/>
      <c r="N102" s="1642"/>
      <c r="O102" s="1642"/>
      <c r="P102" s="1722"/>
    </row>
    <row r="103" spans="1:16" ht="38.25">
      <c r="A103" s="1766"/>
      <c r="B103" s="1766"/>
      <c r="C103" s="1767" t="s">
        <v>381</v>
      </c>
      <c r="D103" s="1668" t="s">
        <v>459</v>
      </c>
      <c r="E103" s="1668" t="s">
        <v>460</v>
      </c>
      <c r="F103" s="1668" t="s">
        <v>461</v>
      </c>
      <c r="G103" s="1768" t="s">
        <v>177</v>
      </c>
      <c r="H103" s="1769" t="s">
        <v>488</v>
      </c>
      <c r="I103" s="1769" t="s">
        <v>463</v>
      </c>
      <c r="J103" s="1767" t="s">
        <v>489</v>
      </c>
      <c r="K103" s="1770"/>
      <c r="L103" s="1669" t="s">
        <v>490</v>
      </c>
      <c r="M103" s="1669" t="s">
        <v>491</v>
      </c>
      <c r="N103" s="1669" t="s">
        <v>490</v>
      </c>
      <c r="O103" s="1669" t="s">
        <v>491</v>
      </c>
      <c r="P103" s="1669" t="s">
        <v>467</v>
      </c>
    </row>
    <row r="104" spans="1:16" ht="13.5" thickBot="1">
      <c r="A104" s="1625"/>
      <c r="B104" s="1625"/>
      <c r="C104" s="1771" t="s">
        <v>468</v>
      </c>
      <c r="D104" s="1772" t="s">
        <v>313</v>
      </c>
      <c r="E104" s="1773" t="s">
        <v>212</v>
      </c>
      <c r="F104" s="1773" t="s">
        <v>313</v>
      </c>
      <c r="G104" s="1773" t="s">
        <v>313</v>
      </c>
      <c r="H104" s="1673" t="s">
        <v>469</v>
      </c>
      <c r="I104" s="1670" t="s">
        <v>470</v>
      </c>
      <c r="J104" s="1773" t="s">
        <v>630</v>
      </c>
      <c r="K104" s="1774"/>
      <c r="L104" s="1672" t="s">
        <v>472</v>
      </c>
      <c r="M104" s="1672" t="s">
        <v>472</v>
      </c>
      <c r="N104" s="1672" t="s">
        <v>631</v>
      </c>
      <c r="O104" s="1672" t="s">
        <v>631</v>
      </c>
      <c r="P104" s="1672" t="s">
        <v>631</v>
      </c>
    </row>
    <row r="105" spans="1:16">
      <c r="A105" s="1625"/>
      <c r="B105" s="1625"/>
      <c r="C105" s="1775" t="s">
        <v>485</v>
      </c>
      <c r="D105" s="1776">
        <v>0</v>
      </c>
      <c r="E105" s="1683">
        <v>0</v>
      </c>
      <c r="F105" s="1777">
        <v>0</v>
      </c>
      <c r="G105" s="1778">
        <v>0</v>
      </c>
      <c r="H105" s="1779">
        <v>0</v>
      </c>
      <c r="I105" s="1780">
        <v>0</v>
      </c>
      <c r="J105" s="1781">
        <v>0</v>
      </c>
      <c r="K105" s="1781"/>
      <c r="L105" s="1782"/>
      <c r="M105" s="1783">
        <v>0</v>
      </c>
      <c r="N105" s="1782"/>
      <c r="O105" s="1783">
        <v>0</v>
      </c>
      <c r="P105" s="1783">
        <v>0</v>
      </c>
    </row>
    <row r="106" spans="1:16">
      <c r="A106" s="1625"/>
      <c r="B106" s="1720"/>
      <c r="C106" s="1775">
        <v>2014</v>
      </c>
      <c r="D106" s="1776">
        <v>0</v>
      </c>
      <c r="E106" s="1683">
        <v>0</v>
      </c>
      <c r="F106" s="1777">
        <v>0</v>
      </c>
      <c r="G106" s="1777">
        <v>0</v>
      </c>
      <c r="H106" s="1686">
        <v>0</v>
      </c>
      <c r="I106" s="1784">
        <v>0</v>
      </c>
      <c r="J106" s="1781">
        <v>0</v>
      </c>
      <c r="K106" s="1781"/>
      <c r="L106" s="1785"/>
      <c r="M106" s="1781">
        <v>0</v>
      </c>
      <c r="N106" s="1785"/>
      <c r="O106" s="1781">
        <v>0</v>
      </c>
      <c r="P106" s="1781">
        <v>0</v>
      </c>
    </row>
    <row r="107" spans="1:16">
      <c r="A107" s="1625"/>
      <c r="B107" s="1720" t="s">
        <v>334</v>
      </c>
      <c r="C107" s="1775">
        <v>2015</v>
      </c>
      <c r="D107" s="1776">
        <v>0</v>
      </c>
      <c r="E107" s="1683">
        <v>0</v>
      </c>
      <c r="F107" s="1777">
        <v>0</v>
      </c>
      <c r="G107" s="1777">
        <v>0</v>
      </c>
      <c r="H107" s="1686">
        <v>0</v>
      </c>
      <c r="I107" s="1784">
        <v>0</v>
      </c>
      <c r="J107" s="1781">
        <v>0</v>
      </c>
      <c r="K107" s="1781"/>
      <c r="L107" s="1785"/>
      <c r="M107" s="1781">
        <v>0</v>
      </c>
      <c r="N107" s="1785"/>
      <c r="O107" s="1781">
        <v>0</v>
      </c>
      <c r="P107" s="1781">
        <v>0</v>
      </c>
    </row>
    <row r="108" spans="1:16">
      <c r="A108" s="1625"/>
      <c r="B108" s="1720" t="s">
        <v>334</v>
      </c>
      <c r="C108" s="1775">
        <v>2016</v>
      </c>
      <c r="D108" s="1776">
        <v>0</v>
      </c>
      <c r="E108" s="1683">
        <v>0</v>
      </c>
      <c r="F108" s="1777">
        <v>0</v>
      </c>
      <c r="G108" s="1777">
        <v>0</v>
      </c>
      <c r="H108" s="1686">
        <v>0</v>
      </c>
      <c r="I108" s="1784">
        <v>0</v>
      </c>
      <c r="J108" s="1781">
        <v>0</v>
      </c>
      <c r="K108" s="1781"/>
      <c r="L108" s="1785"/>
      <c r="M108" s="1781">
        <v>0</v>
      </c>
      <c r="N108" s="1785"/>
      <c r="O108" s="1781">
        <v>0</v>
      </c>
      <c r="P108" s="1781">
        <v>0</v>
      </c>
    </row>
    <row r="109" spans="1:16">
      <c r="A109" s="1625"/>
      <c r="B109" s="1720" t="s">
        <v>334</v>
      </c>
      <c r="C109" s="1775">
        <v>2017</v>
      </c>
      <c r="D109" s="1776">
        <v>0</v>
      </c>
      <c r="E109" s="1683">
        <v>0</v>
      </c>
      <c r="F109" s="1777">
        <v>0</v>
      </c>
      <c r="G109" s="1777">
        <v>0</v>
      </c>
      <c r="H109" s="1686">
        <v>0</v>
      </c>
      <c r="I109" s="1784">
        <v>0</v>
      </c>
      <c r="J109" s="1781">
        <v>0</v>
      </c>
      <c r="K109" s="1781"/>
      <c r="L109" s="1785"/>
      <c r="M109" s="1781">
        <v>0</v>
      </c>
      <c r="N109" s="1785"/>
      <c r="O109" s="1781">
        <v>0</v>
      </c>
      <c r="P109" s="1781">
        <v>0</v>
      </c>
    </row>
    <row r="110" spans="1:16">
      <c r="A110" s="1625"/>
      <c r="B110" s="1720" t="s">
        <v>334</v>
      </c>
      <c r="C110" s="1775">
        <v>2018</v>
      </c>
      <c r="D110" s="1776">
        <v>0</v>
      </c>
      <c r="E110" s="1683">
        <v>0</v>
      </c>
      <c r="F110" s="1777">
        <v>0</v>
      </c>
      <c r="G110" s="1777">
        <v>0</v>
      </c>
      <c r="H110" s="1686">
        <v>0</v>
      </c>
      <c r="I110" s="1784">
        <v>0</v>
      </c>
      <c r="J110" s="1781">
        <v>0</v>
      </c>
      <c r="K110" s="1781"/>
      <c r="L110" s="1785"/>
      <c r="M110" s="1781">
        <v>0</v>
      </c>
      <c r="N110" s="1785"/>
      <c r="O110" s="1781">
        <v>0</v>
      </c>
      <c r="P110" s="1781">
        <v>0</v>
      </c>
    </row>
    <row r="111" spans="1:16">
      <c r="A111" s="1625"/>
      <c r="B111" s="1720" t="s">
        <v>334</v>
      </c>
      <c r="C111" s="1775">
        <v>2019</v>
      </c>
      <c r="D111" s="1776">
        <v>0</v>
      </c>
      <c r="E111" s="1683">
        <v>0</v>
      </c>
      <c r="F111" s="1777">
        <v>0</v>
      </c>
      <c r="G111" s="1777">
        <v>0</v>
      </c>
      <c r="H111" s="1686">
        <v>0</v>
      </c>
      <c r="I111" s="1784">
        <v>0</v>
      </c>
      <c r="J111" s="1781">
        <v>0</v>
      </c>
      <c r="K111" s="1781"/>
      <c r="L111" s="1785"/>
      <c r="M111" s="1781">
        <v>0</v>
      </c>
      <c r="N111" s="1785"/>
      <c r="O111" s="1781">
        <v>0</v>
      </c>
      <c r="P111" s="1781">
        <v>0</v>
      </c>
    </row>
    <row r="112" spans="1:16">
      <c r="A112" s="1625"/>
      <c r="B112" s="1720" t="s">
        <v>334</v>
      </c>
      <c r="C112" s="1775">
        <v>2020</v>
      </c>
      <c r="D112" s="1776">
        <v>0</v>
      </c>
      <c r="E112" s="1683">
        <v>0</v>
      </c>
      <c r="F112" s="1777">
        <v>0</v>
      </c>
      <c r="G112" s="1777">
        <v>0</v>
      </c>
      <c r="H112" s="1686">
        <v>0</v>
      </c>
      <c r="I112" s="1784">
        <v>0</v>
      </c>
      <c r="J112" s="1781">
        <v>0</v>
      </c>
      <c r="K112" s="1781"/>
      <c r="L112" s="1785"/>
      <c r="M112" s="1781">
        <v>0</v>
      </c>
      <c r="N112" s="1785"/>
      <c r="O112" s="1781">
        <v>0</v>
      </c>
      <c r="P112" s="1781">
        <v>0</v>
      </c>
    </row>
    <row r="113" spans="1:16">
      <c r="A113" s="1625"/>
      <c r="B113" s="1720" t="s">
        <v>334</v>
      </c>
      <c r="C113" s="1775">
        <v>2021</v>
      </c>
      <c r="D113" s="1776">
        <v>0</v>
      </c>
      <c r="E113" s="1683">
        <v>0</v>
      </c>
      <c r="F113" s="1777">
        <v>0</v>
      </c>
      <c r="G113" s="1777">
        <v>0</v>
      </c>
      <c r="H113" s="1686">
        <v>0</v>
      </c>
      <c r="I113" s="1784">
        <v>0</v>
      </c>
      <c r="J113" s="1781">
        <v>0</v>
      </c>
      <c r="K113" s="1781"/>
      <c r="L113" s="1785"/>
      <c r="M113" s="1781">
        <v>0</v>
      </c>
      <c r="N113" s="1785"/>
      <c r="O113" s="1781">
        <v>0</v>
      </c>
      <c r="P113" s="1781">
        <v>0</v>
      </c>
    </row>
    <row r="114" spans="1:16">
      <c r="A114" s="1625"/>
      <c r="B114" s="1720" t="s">
        <v>334</v>
      </c>
      <c r="C114" s="1775">
        <v>2022</v>
      </c>
      <c r="D114" s="1776">
        <v>0</v>
      </c>
      <c r="E114" s="1683">
        <v>0</v>
      </c>
      <c r="F114" s="1777">
        <v>0</v>
      </c>
      <c r="G114" s="1777">
        <v>0</v>
      </c>
      <c r="H114" s="1686">
        <v>0</v>
      </c>
      <c r="I114" s="1784">
        <v>0</v>
      </c>
      <c r="J114" s="1781">
        <v>0</v>
      </c>
      <c r="K114" s="1781"/>
      <c r="L114" s="1785"/>
      <c r="M114" s="1781">
        <v>0</v>
      </c>
      <c r="N114" s="1785"/>
      <c r="O114" s="1781">
        <v>0</v>
      </c>
      <c r="P114" s="1781">
        <v>0</v>
      </c>
    </row>
    <row r="115" spans="1:16">
      <c r="A115" s="1625"/>
      <c r="B115" s="1720" t="s">
        <v>334</v>
      </c>
      <c r="C115" s="1775">
        <v>2023</v>
      </c>
      <c r="D115" s="1776">
        <v>0</v>
      </c>
      <c r="E115" s="1683">
        <v>0</v>
      </c>
      <c r="F115" s="1777">
        <v>0</v>
      </c>
      <c r="G115" s="1777">
        <v>0</v>
      </c>
      <c r="H115" s="1686">
        <v>0</v>
      </c>
      <c r="I115" s="1784">
        <v>0</v>
      </c>
      <c r="J115" s="1781">
        <v>0</v>
      </c>
      <c r="K115" s="1781"/>
      <c r="L115" s="1785"/>
      <c r="M115" s="1781">
        <v>0</v>
      </c>
      <c r="N115" s="1785"/>
      <c r="O115" s="1781">
        <v>0</v>
      </c>
      <c r="P115" s="1781">
        <v>0</v>
      </c>
    </row>
    <row r="116" spans="1:16">
      <c r="A116" s="1625"/>
      <c r="B116" s="1720" t="s">
        <v>334</v>
      </c>
      <c r="C116" s="1775">
        <v>2024</v>
      </c>
      <c r="D116" s="1776">
        <v>0</v>
      </c>
      <c r="E116" s="1683">
        <v>0</v>
      </c>
      <c r="F116" s="1777">
        <v>0</v>
      </c>
      <c r="G116" s="1777">
        <v>0</v>
      </c>
      <c r="H116" s="1686">
        <v>0</v>
      </c>
      <c r="I116" s="1784">
        <v>0</v>
      </c>
      <c r="J116" s="1781">
        <v>0</v>
      </c>
      <c r="K116" s="1781"/>
      <c r="L116" s="1785"/>
      <c r="M116" s="1781">
        <v>0</v>
      </c>
      <c r="N116" s="1785"/>
      <c r="O116" s="1781">
        <v>0</v>
      </c>
      <c r="P116" s="1781">
        <v>0</v>
      </c>
    </row>
    <row r="117" spans="1:16">
      <c r="A117" s="1625"/>
      <c r="B117" s="1720" t="s">
        <v>334</v>
      </c>
      <c r="C117" s="1775">
        <v>2025</v>
      </c>
      <c r="D117" s="1776">
        <v>0</v>
      </c>
      <c r="E117" s="1683">
        <v>0</v>
      </c>
      <c r="F117" s="1777">
        <v>0</v>
      </c>
      <c r="G117" s="1777">
        <v>0</v>
      </c>
      <c r="H117" s="1686">
        <v>0</v>
      </c>
      <c r="I117" s="1784">
        <v>0</v>
      </c>
      <c r="J117" s="1781">
        <v>0</v>
      </c>
      <c r="K117" s="1781"/>
      <c r="L117" s="1785"/>
      <c r="M117" s="1781">
        <v>0</v>
      </c>
      <c r="N117" s="1785"/>
      <c r="O117" s="1781">
        <v>0</v>
      </c>
      <c r="P117" s="1781">
        <v>0</v>
      </c>
    </row>
    <row r="118" spans="1:16">
      <c r="A118" s="1625"/>
      <c r="B118" s="1720" t="s">
        <v>334</v>
      </c>
      <c r="C118" s="1775">
        <v>2026</v>
      </c>
      <c r="D118" s="1776">
        <v>0</v>
      </c>
      <c r="E118" s="1683">
        <v>0</v>
      </c>
      <c r="F118" s="1777">
        <v>0</v>
      </c>
      <c r="G118" s="1777">
        <v>0</v>
      </c>
      <c r="H118" s="1686">
        <v>0</v>
      </c>
      <c r="I118" s="1784">
        <v>0</v>
      </c>
      <c r="J118" s="1781">
        <v>0</v>
      </c>
      <c r="K118" s="1781"/>
      <c r="L118" s="1785"/>
      <c r="M118" s="1781">
        <v>0</v>
      </c>
      <c r="N118" s="1785"/>
      <c r="O118" s="1781">
        <v>0</v>
      </c>
      <c r="P118" s="1781">
        <v>0</v>
      </c>
    </row>
    <row r="119" spans="1:16">
      <c r="B119" s="1720" t="s">
        <v>334</v>
      </c>
      <c r="C119" s="1775">
        <v>2027</v>
      </c>
      <c r="D119" s="1776">
        <v>0</v>
      </c>
      <c r="E119" s="1683">
        <v>0</v>
      </c>
      <c r="F119" s="1777">
        <v>0</v>
      </c>
      <c r="G119" s="1777">
        <v>0</v>
      </c>
      <c r="H119" s="1686">
        <v>0</v>
      </c>
      <c r="I119" s="1784">
        <v>0</v>
      </c>
      <c r="J119" s="1781">
        <v>0</v>
      </c>
      <c r="K119" s="1781"/>
      <c r="L119" s="1785"/>
      <c r="M119" s="1781">
        <v>0</v>
      </c>
      <c r="N119" s="1785"/>
      <c r="O119" s="1781">
        <v>0</v>
      </c>
      <c r="P119" s="1781">
        <v>0</v>
      </c>
    </row>
    <row r="120" spans="1:16">
      <c r="B120" s="1720" t="s">
        <v>334</v>
      </c>
      <c r="C120" s="1775">
        <v>2028</v>
      </c>
      <c r="D120" s="1776">
        <v>0</v>
      </c>
      <c r="E120" s="1683">
        <v>0</v>
      </c>
      <c r="F120" s="1777">
        <v>0</v>
      </c>
      <c r="G120" s="1777">
        <v>0</v>
      </c>
      <c r="H120" s="1686">
        <v>0</v>
      </c>
      <c r="I120" s="1784">
        <v>0</v>
      </c>
      <c r="J120" s="1781">
        <v>0</v>
      </c>
      <c r="K120" s="1781"/>
      <c r="L120" s="1785"/>
      <c r="M120" s="1781">
        <v>0</v>
      </c>
      <c r="N120" s="1785"/>
      <c r="O120" s="1781">
        <v>0</v>
      </c>
      <c r="P120" s="1781">
        <v>0</v>
      </c>
    </row>
    <row r="121" spans="1:16">
      <c r="B121" s="1720" t="s">
        <v>334</v>
      </c>
      <c r="C121" s="1775">
        <v>2029</v>
      </c>
      <c r="D121" s="1776">
        <v>0</v>
      </c>
      <c r="E121" s="1683">
        <v>0</v>
      </c>
      <c r="F121" s="1777">
        <v>0</v>
      </c>
      <c r="G121" s="1777">
        <v>0</v>
      </c>
      <c r="H121" s="1686">
        <v>0</v>
      </c>
      <c r="I121" s="1784">
        <v>0</v>
      </c>
      <c r="J121" s="1781">
        <v>0</v>
      </c>
      <c r="K121" s="1781"/>
      <c r="L121" s="1785"/>
      <c r="M121" s="1781">
        <v>0</v>
      </c>
      <c r="N121" s="1785"/>
      <c r="O121" s="1781">
        <v>0</v>
      </c>
      <c r="P121" s="1781">
        <v>0</v>
      </c>
    </row>
    <row r="122" spans="1:16">
      <c r="B122" s="1720" t="s">
        <v>334</v>
      </c>
      <c r="C122" s="1775">
        <v>2030</v>
      </c>
      <c r="D122" s="1776">
        <v>0</v>
      </c>
      <c r="E122" s="1683">
        <v>0</v>
      </c>
      <c r="F122" s="1777">
        <v>0</v>
      </c>
      <c r="G122" s="1777">
        <v>0</v>
      </c>
      <c r="H122" s="1686">
        <v>0</v>
      </c>
      <c r="I122" s="1784">
        <v>0</v>
      </c>
      <c r="J122" s="1781">
        <v>0</v>
      </c>
      <c r="K122" s="1781"/>
      <c r="L122" s="1785"/>
      <c r="M122" s="1781">
        <v>0</v>
      </c>
      <c r="N122" s="1785"/>
      <c r="O122" s="1781">
        <v>0</v>
      </c>
      <c r="P122" s="1781">
        <v>0</v>
      </c>
    </row>
    <row r="123" spans="1:16">
      <c r="B123" s="1720" t="s">
        <v>334</v>
      </c>
      <c r="C123" s="1775">
        <v>2031</v>
      </c>
      <c r="D123" s="1776">
        <v>0</v>
      </c>
      <c r="E123" s="1683">
        <v>0</v>
      </c>
      <c r="F123" s="1777">
        <v>0</v>
      </c>
      <c r="G123" s="1777">
        <v>0</v>
      </c>
      <c r="H123" s="1686">
        <v>0</v>
      </c>
      <c r="I123" s="1784">
        <v>0</v>
      </c>
      <c r="J123" s="1781">
        <v>0</v>
      </c>
      <c r="K123" s="1781"/>
      <c r="L123" s="1785"/>
      <c r="M123" s="1781">
        <v>0</v>
      </c>
      <c r="N123" s="1785"/>
      <c r="O123" s="1781">
        <v>0</v>
      </c>
      <c r="P123" s="1781">
        <v>0</v>
      </c>
    </row>
    <row r="124" spans="1:16">
      <c r="B124" s="1720" t="s">
        <v>334</v>
      </c>
      <c r="C124" s="1775">
        <v>2032</v>
      </c>
      <c r="D124" s="1776">
        <v>0</v>
      </c>
      <c r="E124" s="1683">
        <v>0</v>
      </c>
      <c r="F124" s="1777">
        <v>0</v>
      </c>
      <c r="G124" s="1777">
        <v>0</v>
      </c>
      <c r="H124" s="1686">
        <v>0</v>
      </c>
      <c r="I124" s="1784">
        <v>0</v>
      </c>
      <c r="J124" s="1781">
        <v>0</v>
      </c>
      <c r="K124" s="1781"/>
      <c r="L124" s="1785"/>
      <c r="M124" s="1781">
        <v>0</v>
      </c>
      <c r="N124" s="1785"/>
      <c r="O124" s="1781">
        <v>0</v>
      </c>
      <c r="P124" s="1781">
        <v>0</v>
      </c>
    </row>
    <row r="125" spans="1:16">
      <c r="B125" s="1720" t="s">
        <v>334</v>
      </c>
      <c r="C125" s="1775">
        <v>2033</v>
      </c>
      <c r="D125" s="1776">
        <v>0</v>
      </c>
      <c r="E125" s="1683">
        <v>0</v>
      </c>
      <c r="F125" s="1777">
        <v>0</v>
      </c>
      <c r="G125" s="1777">
        <v>0</v>
      </c>
      <c r="H125" s="1686">
        <v>0</v>
      </c>
      <c r="I125" s="1784">
        <v>0</v>
      </c>
      <c r="J125" s="1781">
        <v>0</v>
      </c>
      <c r="K125" s="1781"/>
      <c r="L125" s="1785"/>
      <c r="M125" s="1781">
        <v>0</v>
      </c>
      <c r="N125" s="1785"/>
      <c r="O125" s="1781">
        <v>0</v>
      </c>
      <c r="P125" s="1781">
        <v>0</v>
      </c>
    </row>
    <row r="126" spans="1:16">
      <c r="B126" s="1720" t="s">
        <v>334</v>
      </c>
      <c r="C126" s="1775">
        <v>2034</v>
      </c>
      <c r="D126" s="1776">
        <v>0</v>
      </c>
      <c r="E126" s="1683">
        <v>0</v>
      </c>
      <c r="F126" s="1777">
        <v>0</v>
      </c>
      <c r="G126" s="1777">
        <v>0</v>
      </c>
      <c r="H126" s="1686">
        <v>0</v>
      </c>
      <c r="I126" s="1784">
        <v>0</v>
      </c>
      <c r="J126" s="1781">
        <v>0</v>
      </c>
      <c r="K126" s="1781"/>
      <c r="L126" s="1785"/>
      <c r="M126" s="1781">
        <v>0</v>
      </c>
      <c r="N126" s="1785"/>
      <c r="O126" s="1781">
        <v>0</v>
      </c>
      <c r="P126" s="1781">
        <v>0</v>
      </c>
    </row>
    <row r="127" spans="1:16">
      <c r="B127" s="1720" t="s">
        <v>334</v>
      </c>
      <c r="C127" s="1775">
        <v>2035</v>
      </c>
      <c r="D127" s="1776">
        <v>0</v>
      </c>
      <c r="E127" s="1683">
        <v>0</v>
      </c>
      <c r="F127" s="1777">
        <v>0</v>
      </c>
      <c r="G127" s="1777">
        <v>0</v>
      </c>
      <c r="H127" s="1686">
        <v>0</v>
      </c>
      <c r="I127" s="1784">
        <v>0</v>
      </c>
      <c r="J127" s="1781">
        <v>0</v>
      </c>
      <c r="K127" s="1781"/>
      <c r="L127" s="1785"/>
      <c r="M127" s="1781">
        <v>0</v>
      </c>
      <c r="N127" s="1785"/>
      <c r="O127" s="1781">
        <v>0</v>
      </c>
      <c r="P127" s="1781">
        <v>0</v>
      </c>
    </row>
    <row r="128" spans="1:16">
      <c r="B128" s="1720" t="s">
        <v>334</v>
      </c>
      <c r="C128" s="1775">
        <v>2036</v>
      </c>
      <c r="D128" s="1776">
        <v>0</v>
      </c>
      <c r="E128" s="1683">
        <v>0</v>
      </c>
      <c r="F128" s="1777">
        <v>0</v>
      </c>
      <c r="G128" s="1777">
        <v>0</v>
      </c>
      <c r="H128" s="1686">
        <v>0</v>
      </c>
      <c r="I128" s="1784">
        <v>0</v>
      </c>
      <c r="J128" s="1781">
        <v>0</v>
      </c>
      <c r="K128" s="1781"/>
      <c r="L128" s="1785"/>
      <c r="M128" s="1781">
        <v>0</v>
      </c>
      <c r="N128" s="1785"/>
      <c r="O128" s="1781">
        <v>0</v>
      </c>
      <c r="P128" s="1781">
        <v>0</v>
      </c>
    </row>
    <row r="129" spans="2:18">
      <c r="B129" s="1720" t="s">
        <v>334</v>
      </c>
      <c r="C129" s="1775">
        <v>2037</v>
      </c>
      <c r="D129" s="1776">
        <v>0</v>
      </c>
      <c r="E129" s="1683">
        <v>0</v>
      </c>
      <c r="F129" s="1777">
        <v>0</v>
      </c>
      <c r="G129" s="1777">
        <v>0</v>
      </c>
      <c r="H129" s="1686">
        <v>0</v>
      </c>
      <c r="I129" s="1784">
        <v>0</v>
      </c>
      <c r="J129" s="1781">
        <v>0</v>
      </c>
      <c r="K129" s="1781"/>
      <c r="L129" s="1785"/>
      <c r="M129" s="1781">
        <v>0</v>
      </c>
      <c r="N129" s="1785"/>
      <c r="O129" s="1781">
        <v>0</v>
      </c>
      <c r="P129" s="1781">
        <v>0</v>
      </c>
    </row>
    <row r="130" spans="2:18">
      <c r="B130" s="1720" t="s">
        <v>334</v>
      </c>
      <c r="C130" s="1775">
        <v>2038</v>
      </c>
      <c r="D130" s="1776">
        <v>0</v>
      </c>
      <c r="E130" s="1683">
        <v>0</v>
      </c>
      <c r="F130" s="1777">
        <v>0</v>
      </c>
      <c r="G130" s="1777">
        <v>0</v>
      </c>
      <c r="H130" s="1686">
        <v>0</v>
      </c>
      <c r="I130" s="1784">
        <v>0</v>
      </c>
      <c r="J130" s="1781">
        <v>0</v>
      </c>
      <c r="K130" s="1781"/>
      <c r="L130" s="1785"/>
      <c r="M130" s="1781">
        <v>0</v>
      </c>
      <c r="N130" s="1785"/>
      <c r="O130" s="1781">
        <v>0</v>
      </c>
      <c r="P130" s="1781">
        <v>0</v>
      </c>
    </row>
    <row r="131" spans="2:18">
      <c r="B131" s="1720" t="s">
        <v>334</v>
      </c>
      <c r="C131" s="1775">
        <v>2039</v>
      </c>
      <c r="D131" s="1776">
        <v>0</v>
      </c>
      <c r="E131" s="1683">
        <v>0</v>
      </c>
      <c r="F131" s="1777">
        <v>0</v>
      </c>
      <c r="G131" s="1777">
        <v>0</v>
      </c>
      <c r="H131" s="1686">
        <v>0</v>
      </c>
      <c r="I131" s="1784">
        <v>0</v>
      </c>
      <c r="J131" s="1781">
        <v>0</v>
      </c>
      <c r="K131" s="1781"/>
      <c r="L131" s="1785"/>
      <c r="M131" s="1781">
        <v>0</v>
      </c>
      <c r="N131" s="1785"/>
      <c r="O131" s="1781">
        <v>0</v>
      </c>
      <c r="P131" s="1781">
        <v>0</v>
      </c>
    </row>
    <row r="132" spans="2:18">
      <c r="B132" s="1720" t="s">
        <v>334</v>
      </c>
      <c r="C132" s="1775">
        <v>2040</v>
      </c>
      <c r="D132" s="1776">
        <v>0</v>
      </c>
      <c r="E132" s="1683">
        <v>0</v>
      </c>
      <c r="F132" s="1777">
        <v>0</v>
      </c>
      <c r="G132" s="1777">
        <v>0</v>
      </c>
      <c r="H132" s="1686">
        <v>0</v>
      </c>
      <c r="I132" s="1784">
        <v>0</v>
      </c>
      <c r="J132" s="1781">
        <v>0</v>
      </c>
      <c r="K132" s="1781"/>
      <c r="L132" s="1785"/>
      <c r="M132" s="1781">
        <v>0</v>
      </c>
      <c r="N132" s="1785"/>
      <c r="O132" s="1781">
        <v>0</v>
      </c>
      <c r="P132" s="1781">
        <v>0</v>
      </c>
      <c r="R132" s="1710"/>
    </row>
    <row r="133" spans="2:18">
      <c r="B133" s="1720" t="s">
        <v>334</v>
      </c>
      <c r="C133" s="1775">
        <v>2041</v>
      </c>
      <c r="D133" s="1776">
        <v>0</v>
      </c>
      <c r="E133" s="1683">
        <v>0</v>
      </c>
      <c r="F133" s="1777">
        <v>0</v>
      </c>
      <c r="G133" s="1777">
        <v>0</v>
      </c>
      <c r="H133" s="1686">
        <v>0</v>
      </c>
      <c r="I133" s="1784">
        <v>0</v>
      </c>
      <c r="J133" s="1781">
        <v>0</v>
      </c>
      <c r="K133" s="1781"/>
      <c r="L133" s="1785"/>
      <c r="M133" s="1781">
        <v>0</v>
      </c>
      <c r="N133" s="1785"/>
      <c r="O133" s="1781">
        <v>0</v>
      </c>
      <c r="P133" s="1781">
        <v>0</v>
      </c>
      <c r="R133" s="276"/>
    </row>
    <row r="134" spans="2:18">
      <c r="B134" s="1720" t="s">
        <v>334</v>
      </c>
      <c r="C134" s="1775">
        <v>2042</v>
      </c>
      <c r="D134" s="1776">
        <v>0</v>
      </c>
      <c r="E134" s="1683">
        <v>0</v>
      </c>
      <c r="F134" s="1777">
        <v>0</v>
      </c>
      <c r="G134" s="1777">
        <v>0</v>
      </c>
      <c r="H134" s="1686">
        <v>0</v>
      </c>
      <c r="I134" s="1784">
        <v>0</v>
      </c>
      <c r="J134" s="1781">
        <v>0</v>
      </c>
      <c r="K134" s="1781"/>
      <c r="L134" s="1785"/>
      <c r="M134" s="1781">
        <v>0</v>
      </c>
      <c r="N134" s="1785"/>
      <c r="O134" s="1781">
        <v>0</v>
      </c>
      <c r="P134" s="1781">
        <v>0</v>
      </c>
      <c r="R134" s="276"/>
    </row>
    <row r="135" spans="2:18">
      <c r="B135" s="1720" t="s">
        <v>334</v>
      </c>
      <c r="C135" s="1775">
        <v>2043</v>
      </c>
      <c r="D135" s="1776">
        <v>0</v>
      </c>
      <c r="E135" s="1683">
        <v>0</v>
      </c>
      <c r="F135" s="1777">
        <v>0</v>
      </c>
      <c r="G135" s="1777">
        <v>0</v>
      </c>
      <c r="H135" s="1686">
        <v>0</v>
      </c>
      <c r="I135" s="1784">
        <v>0</v>
      </c>
      <c r="J135" s="1781">
        <v>0</v>
      </c>
      <c r="K135" s="1781"/>
      <c r="L135" s="1785"/>
      <c r="M135" s="1781">
        <v>0</v>
      </c>
      <c r="N135" s="1785"/>
      <c r="O135" s="1781">
        <v>0</v>
      </c>
      <c r="P135" s="1781">
        <v>0</v>
      </c>
      <c r="R135" s="276"/>
    </row>
    <row r="136" spans="2:18">
      <c r="B136" s="1720" t="s">
        <v>334</v>
      </c>
      <c r="C136" s="1775">
        <v>2044</v>
      </c>
      <c r="D136" s="1776">
        <v>0</v>
      </c>
      <c r="E136" s="1683">
        <v>0</v>
      </c>
      <c r="F136" s="1777">
        <v>0</v>
      </c>
      <c r="G136" s="1777">
        <v>0</v>
      </c>
      <c r="H136" s="1686">
        <v>0</v>
      </c>
      <c r="I136" s="1784">
        <v>0</v>
      </c>
      <c r="J136" s="1781">
        <v>0</v>
      </c>
      <c r="K136" s="1781"/>
      <c r="L136" s="1785"/>
      <c r="M136" s="1781">
        <v>0</v>
      </c>
      <c r="N136" s="1785"/>
      <c r="O136" s="1781">
        <v>0</v>
      </c>
      <c r="P136" s="1781">
        <v>0</v>
      </c>
      <c r="R136" s="276"/>
    </row>
    <row r="137" spans="2:18">
      <c r="B137" s="1720" t="s">
        <v>334</v>
      </c>
      <c r="C137" s="1775">
        <v>2045</v>
      </c>
      <c r="D137" s="1776">
        <v>0</v>
      </c>
      <c r="E137" s="1683">
        <v>0</v>
      </c>
      <c r="F137" s="1777">
        <v>0</v>
      </c>
      <c r="G137" s="1777">
        <v>0</v>
      </c>
      <c r="H137" s="1686">
        <v>0</v>
      </c>
      <c r="I137" s="1784">
        <v>0</v>
      </c>
      <c r="J137" s="1781">
        <v>0</v>
      </c>
      <c r="K137" s="1781"/>
      <c r="L137" s="1785"/>
      <c r="M137" s="1781">
        <v>0</v>
      </c>
      <c r="N137" s="1785"/>
      <c r="O137" s="1781">
        <v>0</v>
      </c>
      <c r="P137" s="1781">
        <v>0</v>
      </c>
      <c r="R137" s="276"/>
    </row>
    <row r="138" spans="2:18">
      <c r="B138" s="1720" t="s">
        <v>334</v>
      </c>
      <c r="C138" s="1775">
        <v>2046</v>
      </c>
      <c r="D138" s="1776">
        <v>0</v>
      </c>
      <c r="E138" s="1683">
        <v>0</v>
      </c>
      <c r="F138" s="1777">
        <v>0</v>
      </c>
      <c r="G138" s="1777">
        <v>0</v>
      </c>
      <c r="H138" s="1686">
        <v>0</v>
      </c>
      <c r="I138" s="1784">
        <v>0</v>
      </c>
      <c r="J138" s="1781">
        <v>0</v>
      </c>
      <c r="K138" s="1781"/>
      <c r="L138" s="1785"/>
      <c r="M138" s="1781">
        <v>0</v>
      </c>
      <c r="N138" s="1785"/>
      <c r="O138" s="1781">
        <v>0</v>
      </c>
      <c r="P138" s="1781">
        <v>0</v>
      </c>
      <c r="R138" s="276"/>
    </row>
    <row r="139" spans="2:18">
      <c r="B139" s="1720" t="s">
        <v>334</v>
      </c>
      <c r="C139" s="1775">
        <v>2047</v>
      </c>
      <c r="D139" s="1776">
        <v>0</v>
      </c>
      <c r="E139" s="1683">
        <v>0</v>
      </c>
      <c r="F139" s="1777">
        <v>0</v>
      </c>
      <c r="G139" s="1777">
        <v>0</v>
      </c>
      <c r="H139" s="1686">
        <v>0</v>
      </c>
      <c r="I139" s="1784">
        <v>0</v>
      </c>
      <c r="J139" s="1781">
        <v>0</v>
      </c>
      <c r="K139" s="1781"/>
      <c r="L139" s="1785"/>
      <c r="M139" s="1781">
        <v>0</v>
      </c>
      <c r="N139" s="1785"/>
      <c r="O139" s="1781">
        <v>0</v>
      </c>
      <c r="P139" s="1781">
        <v>0</v>
      </c>
      <c r="R139" s="276"/>
    </row>
    <row r="140" spans="2:18">
      <c r="B140" s="1720" t="s">
        <v>334</v>
      </c>
      <c r="C140" s="1775">
        <v>2048</v>
      </c>
      <c r="D140" s="1776">
        <v>0</v>
      </c>
      <c r="E140" s="1683">
        <v>0</v>
      </c>
      <c r="F140" s="1777">
        <v>0</v>
      </c>
      <c r="G140" s="1777">
        <v>0</v>
      </c>
      <c r="H140" s="1686">
        <v>0</v>
      </c>
      <c r="I140" s="1784">
        <v>0</v>
      </c>
      <c r="J140" s="1781">
        <v>0</v>
      </c>
      <c r="K140" s="1781"/>
      <c r="L140" s="1785"/>
      <c r="M140" s="1781">
        <v>0</v>
      </c>
      <c r="N140" s="1785"/>
      <c r="O140" s="1781">
        <v>0</v>
      </c>
      <c r="P140" s="1781">
        <v>0</v>
      </c>
      <c r="R140" s="276"/>
    </row>
    <row r="141" spans="2:18">
      <c r="B141" s="1720" t="s">
        <v>334</v>
      </c>
      <c r="C141" s="1775">
        <v>2049</v>
      </c>
      <c r="D141" s="1776">
        <v>0</v>
      </c>
      <c r="E141" s="1683">
        <v>0</v>
      </c>
      <c r="F141" s="1777">
        <v>0</v>
      </c>
      <c r="G141" s="1777">
        <v>0</v>
      </c>
      <c r="H141" s="1686">
        <v>0</v>
      </c>
      <c r="I141" s="1784">
        <v>0</v>
      </c>
      <c r="J141" s="1781">
        <v>0</v>
      </c>
      <c r="K141" s="1781"/>
      <c r="L141" s="1785"/>
      <c r="M141" s="1781">
        <v>0</v>
      </c>
      <c r="N141" s="1785"/>
      <c r="O141" s="1781">
        <v>0</v>
      </c>
      <c r="P141" s="1781">
        <v>0</v>
      </c>
      <c r="R141" s="276"/>
    </row>
    <row r="142" spans="2:18">
      <c r="B142" s="1720" t="s">
        <v>334</v>
      </c>
      <c r="C142" s="1775">
        <v>2050</v>
      </c>
      <c r="D142" s="1776">
        <v>0</v>
      </c>
      <c r="E142" s="1683">
        <v>0</v>
      </c>
      <c r="F142" s="1777">
        <v>0</v>
      </c>
      <c r="G142" s="1777">
        <v>0</v>
      </c>
      <c r="H142" s="1686">
        <v>0</v>
      </c>
      <c r="I142" s="1784">
        <v>0</v>
      </c>
      <c r="J142" s="1781">
        <v>0</v>
      </c>
      <c r="K142" s="1781"/>
      <c r="L142" s="1785"/>
      <c r="M142" s="1781">
        <v>0</v>
      </c>
      <c r="N142" s="1785"/>
      <c r="O142" s="1781">
        <v>0</v>
      </c>
      <c r="P142" s="1781">
        <v>0</v>
      </c>
      <c r="R142" s="276"/>
    </row>
    <row r="143" spans="2:18">
      <c r="B143" s="1720" t="s">
        <v>334</v>
      </c>
      <c r="C143" s="1775">
        <v>2051</v>
      </c>
      <c r="D143" s="1776">
        <v>0</v>
      </c>
      <c r="E143" s="1683">
        <v>0</v>
      </c>
      <c r="F143" s="1777">
        <v>0</v>
      </c>
      <c r="G143" s="1777">
        <v>0</v>
      </c>
      <c r="H143" s="1686">
        <v>0</v>
      </c>
      <c r="I143" s="1784">
        <v>0</v>
      </c>
      <c r="J143" s="1781">
        <v>0</v>
      </c>
      <c r="K143" s="1781"/>
      <c r="L143" s="1785"/>
      <c r="M143" s="1781">
        <v>0</v>
      </c>
      <c r="N143" s="1785"/>
      <c r="O143" s="1781">
        <v>0</v>
      </c>
      <c r="P143" s="1781">
        <v>0</v>
      </c>
      <c r="R143" s="276"/>
    </row>
    <row r="144" spans="2:18">
      <c r="B144" s="1720" t="s">
        <v>334</v>
      </c>
      <c r="C144" s="1775">
        <v>2052</v>
      </c>
      <c r="D144" s="1776">
        <v>0</v>
      </c>
      <c r="E144" s="1683">
        <v>0</v>
      </c>
      <c r="F144" s="1777">
        <v>0</v>
      </c>
      <c r="G144" s="1777">
        <v>0</v>
      </c>
      <c r="H144" s="1686">
        <v>0</v>
      </c>
      <c r="I144" s="1784">
        <v>0</v>
      </c>
      <c r="J144" s="1781">
        <v>0</v>
      </c>
      <c r="K144" s="1781"/>
      <c r="L144" s="1785"/>
      <c r="M144" s="1781">
        <v>0</v>
      </c>
      <c r="N144" s="1785"/>
      <c r="O144" s="1781">
        <v>0</v>
      </c>
      <c r="P144" s="1781">
        <v>0</v>
      </c>
      <c r="R144" s="276"/>
    </row>
    <row r="145" spans="2:18">
      <c r="B145" s="1720" t="s">
        <v>334</v>
      </c>
      <c r="C145" s="1775">
        <v>2053</v>
      </c>
      <c r="D145" s="1776">
        <v>0</v>
      </c>
      <c r="E145" s="1683">
        <v>0</v>
      </c>
      <c r="F145" s="1777">
        <v>0</v>
      </c>
      <c r="G145" s="1777">
        <v>0</v>
      </c>
      <c r="H145" s="1686">
        <v>0</v>
      </c>
      <c r="I145" s="1784">
        <v>0</v>
      </c>
      <c r="J145" s="1781">
        <v>0</v>
      </c>
      <c r="K145" s="1781"/>
      <c r="L145" s="1785"/>
      <c r="M145" s="1781">
        <v>0</v>
      </c>
      <c r="N145" s="1785"/>
      <c r="O145" s="1781">
        <v>0</v>
      </c>
      <c r="P145" s="1781">
        <v>0</v>
      </c>
      <c r="R145" s="276"/>
    </row>
    <row r="146" spans="2:18">
      <c r="B146" s="1720" t="s">
        <v>334</v>
      </c>
      <c r="C146" s="1775">
        <v>2054</v>
      </c>
      <c r="D146" s="1776">
        <v>0</v>
      </c>
      <c r="E146" s="1683">
        <v>0</v>
      </c>
      <c r="F146" s="1777">
        <v>0</v>
      </c>
      <c r="G146" s="1777">
        <v>0</v>
      </c>
      <c r="H146" s="1686">
        <v>0</v>
      </c>
      <c r="I146" s="1784">
        <v>0</v>
      </c>
      <c r="J146" s="1781">
        <v>0</v>
      </c>
      <c r="K146" s="1781"/>
      <c r="L146" s="1785"/>
      <c r="M146" s="1781">
        <v>0</v>
      </c>
      <c r="N146" s="1785"/>
      <c r="O146" s="1781">
        <v>0</v>
      </c>
      <c r="P146" s="1781">
        <v>0</v>
      </c>
      <c r="R146" s="276"/>
    </row>
    <row r="147" spans="2:18">
      <c r="B147" s="1720" t="s">
        <v>334</v>
      </c>
      <c r="C147" s="1775">
        <v>2055</v>
      </c>
      <c r="D147" s="1776">
        <v>0</v>
      </c>
      <c r="E147" s="1683">
        <v>0</v>
      </c>
      <c r="F147" s="1777">
        <v>0</v>
      </c>
      <c r="G147" s="1777">
        <v>0</v>
      </c>
      <c r="H147" s="1686">
        <v>0</v>
      </c>
      <c r="I147" s="1784">
        <v>0</v>
      </c>
      <c r="J147" s="1781">
        <v>0</v>
      </c>
      <c r="K147" s="1781"/>
      <c r="L147" s="1785"/>
      <c r="M147" s="1781">
        <v>0</v>
      </c>
      <c r="N147" s="1785"/>
      <c r="O147" s="1781">
        <v>0</v>
      </c>
      <c r="P147" s="1781">
        <v>0</v>
      </c>
      <c r="R147" s="276"/>
    </row>
    <row r="148" spans="2:18">
      <c r="B148" s="1720" t="s">
        <v>334</v>
      </c>
      <c r="C148" s="1775">
        <v>2056</v>
      </c>
      <c r="D148" s="1776">
        <v>0</v>
      </c>
      <c r="E148" s="1683">
        <v>0</v>
      </c>
      <c r="F148" s="1777">
        <v>0</v>
      </c>
      <c r="G148" s="1777">
        <v>0</v>
      </c>
      <c r="H148" s="1686">
        <v>0</v>
      </c>
      <c r="I148" s="1784">
        <v>0</v>
      </c>
      <c r="J148" s="1781">
        <v>0</v>
      </c>
      <c r="K148" s="1781"/>
      <c r="L148" s="1785"/>
      <c r="M148" s="1781">
        <v>0</v>
      </c>
      <c r="N148" s="1785"/>
      <c r="O148" s="1781">
        <v>0</v>
      </c>
      <c r="P148" s="1781">
        <v>0</v>
      </c>
      <c r="R148" s="276"/>
    </row>
    <row r="149" spans="2:18">
      <c r="B149" s="1720" t="s">
        <v>334</v>
      </c>
      <c r="C149" s="1775">
        <v>2057</v>
      </c>
      <c r="D149" s="1776">
        <v>0</v>
      </c>
      <c r="E149" s="1683">
        <v>0</v>
      </c>
      <c r="F149" s="1777">
        <v>0</v>
      </c>
      <c r="G149" s="1777">
        <v>0</v>
      </c>
      <c r="H149" s="1686">
        <v>0</v>
      </c>
      <c r="I149" s="1784">
        <v>0</v>
      </c>
      <c r="J149" s="1781">
        <v>0</v>
      </c>
      <c r="K149" s="1781"/>
      <c r="L149" s="1785"/>
      <c r="M149" s="1781">
        <v>0</v>
      </c>
      <c r="N149" s="1785"/>
      <c r="O149" s="1781">
        <v>0</v>
      </c>
      <c r="P149" s="1781">
        <v>0</v>
      </c>
      <c r="R149" s="276"/>
    </row>
    <row r="150" spans="2:18">
      <c r="B150" s="1720" t="s">
        <v>334</v>
      </c>
      <c r="C150" s="1775">
        <v>2058</v>
      </c>
      <c r="D150" s="1776">
        <v>0</v>
      </c>
      <c r="E150" s="1683">
        <v>0</v>
      </c>
      <c r="F150" s="1777">
        <v>0</v>
      </c>
      <c r="G150" s="1777">
        <v>0</v>
      </c>
      <c r="H150" s="1686">
        <v>0</v>
      </c>
      <c r="I150" s="1784">
        <v>0</v>
      </c>
      <c r="J150" s="1781">
        <v>0</v>
      </c>
      <c r="K150" s="1781"/>
      <c r="L150" s="1785"/>
      <c r="M150" s="1781">
        <v>0</v>
      </c>
      <c r="N150" s="1785"/>
      <c r="O150" s="1781">
        <v>0</v>
      </c>
      <c r="P150" s="1781">
        <v>0</v>
      </c>
      <c r="R150" s="276"/>
    </row>
    <row r="151" spans="2:18">
      <c r="B151" s="1720" t="s">
        <v>334</v>
      </c>
      <c r="C151" s="1775">
        <v>2059</v>
      </c>
      <c r="D151" s="1776">
        <v>0</v>
      </c>
      <c r="E151" s="1683">
        <v>0</v>
      </c>
      <c r="F151" s="1777">
        <v>0</v>
      </c>
      <c r="G151" s="1777">
        <v>0</v>
      </c>
      <c r="H151" s="1686">
        <v>0</v>
      </c>
      <c r="I151" s="1784">
        <v>0</v>
      </c>
      <c r="J151" s="1781">
        <v>0</v>
      </c>
      <c r="K151" s="1781"/>
      <c r="L151" s="1785"/>
      <c r="M151" s="1781">
        <v>0</v>
      </c>
      <c r="N151" s="1785"/>
      <c r="O151" s="1781">
        <v>0</v>
      </c>
      <c r="P151" s="1781">
        <v>0</v>
      </c>
      <c r="R151" s="276"/>
    </row>
    <row r="152" spans="2:18">
      <c r="B152" s="1720" t="s">
        <v>334</v>
      </c>
      <c r="C152" s="1775">
        <v>2060</v>
      </c>
      <c r="D152" s="1776">
        <v>0</v>
      </c>
      <c r="E152" s="1683">
        <v>0</v>
      </c>
      <c r="F152" s="1777">
        <v>0</v>
      </c>
      <c r="G152" s="1777">
        <v>0</v>
      </c>
      <c r="H152" s="1686">
        <v>0</v>
      </c>
      <c r="I152" s="1784">
        <v>0</v>
      </c>
      <c r="J152" s="1781">
        <v>0</v>
      </c>
      <c r="K152" s="1781"/>
      <c r="L152" s="1785"/>
      <c r="M152" s="1781">
        <v>0</v>
      </c>
      <c r="N152" s="1785"/>
      <c r="O152" s="1781">
        <v>0</v>
      </c>
      <c r="P152" s="1781">
        <v>0</v>
      </c>
      <c r="R152" s="276"/>
    </row>
    <row r="153" spans="2:18">
      <c r="B153" s="1720" t="s">
        <v>334</v>
      </c>
      <c r="C153" s="1775">
        <v>2061</v>
      </c>
      <c r="D153" s="1776">
        <v>0</v>
      </c>
      <c r="E153" s="1683">
        <v>0</v>
      </c>
      <c r="F153" s="1777">
        <v>0</v>
      </c>
      <c r="G153" s="1777">
        <v>0</v>
      </c>
      <c r="H153" s="1686">
        <v>0</v>
      </c>
      <c r="I153" s="1784">
        <v>0</v>
      </c>
      <c r="J153" s="1781">
        <v>0</v>
      </c>
      <c r="K153" s="1781"/>
      <c r="L153" s="1785"/>
      <c r="M153" s="1781">
        <v>0</v>
      </c>
      <c r="N153" s="1785"/>
      <c r="O153" s="1781">
        <v>0</v>
      </c>
      <c r="P153" s="1781">
        <v>0</v>
      </c>
      <c r="R153" s="276"/>
    </row>
    <row r="154" spans="2:18">
      <c r="B154" s="1720" t="s">
        <v>334</v>
      </c>
      <c r="C154" s="1775">
        <v>2062</v>
      </c>
      <c r="D154" s="1776">
        <v>0</v>
      </c>
      <c r="E154" s="1683">
        <v>0</v>
      </c>
      <c r="F154" s="1777">
        <v>0</v>
      </c>
      <c r="G154" s="1777">
        <v>0</v>
      </c>
      <c r="H154" s="1686">
        <v>0</v>
      </c>
      <c r="I154" s="1784">
        <v>0</v>
      </c>
      <c r="J154" s="1781">
        <v>0</v>
      </c>
      <c r="K154" s="1781"/>
      <c r="L154" s="1785"/>
      <c r="M154" s="1781">
        <v>0</v>
      </c>
      <c r="N154" s="1785"/>
      <c r="O154" s="1781">
        <v>0</v>
      </c>
      <c r="P154" s="1781">
        <v>0</v>
      </c>
      <c r="R154" s="276"/>
    </row>
    <row r="155" spans="2:18">
      <c r="B155" s="1720" t="s">
        <v>334</v>
      </c>
      <c r="C155" s="1775">
        <v>2063</v>
      </c>
      <c r="D155" s="1776">
        <v>0</v>
      </c>
      <c r="E155" s="1683">
        <v>0</v>
      </c>
      <c r="F155" s="1777">
        <v>0</v>
      </c>
      <c r="G155" s="1777">
        <v>0</v>
      </c>
      <c r="H155" s="1686">
        <v>0</v>
      </c>
      <c r="I155" s="1784">
        <v>0</v>
      </c>
      <c r="J155" s="1781">
        <v>0</v>
      </c>
      <c r="K155" s="1781"/>
      <c r="L155" s="1785"/>
      <c r="M155" s="1781">
        <v>0</v>
      </c>
      <c r="N155" s="1785"/>
      <c r="O155" s="1781">
        <v>0</v>
      </c>
      <c r="P155" s="1781">
        <v>0</v>
      </c>
      <c r="R155" s="276"/>
    </row>
    <row r="156" spans="2:18">
      <c r="B156" s="1720" t="s">
        <v>334</v>
      </c>
      <c r="C156" s="1775">
        <v>2064</v>
      </c>
      <c r="D156" s="1776">
        <v>0</v>
      </c>
      <c r="E156" s="1683">
        <v>0</v>
      </c>
      <c r="F156" s="1777">
        <v>0</v>
      </c>
      <c r="G156" s="1777">
        <v>0</v>
      </c>
      <c r="H156" s="1686">
        <v>0</v>
      </c>
      <c r="I156" s="1784">
        <v>0</v>
      </c>
      <c r="J156" s="1781">
        <v>0</v>
      </c>
      <c r="K156" s="1781"/>
      <c r="L156" s="1785"/>
      <c r="M156" s="1781">
        <v>0</v>
      </c>
      <c r="N156" s="1785"/>
      <c r="O156" s="1781">
        <v>0</v>
      </c>
      <c r="P156" s="1781">
        <v>0</v>
      </c>
      <c r="R156" s="276"/>
    </row>
    <row r="157" spans="2:18">
      <c r="B157" s="1720" t="s">
        <v>334</v>
      </c>
      <c r="C157" s="1775">
        <v>2065</v>
      </c>
      <c r="D157" s="1776">
        <v>0</v>
      </c>
      <c r="E157" s="1683">
        <v>0</v>
      </c>
      <c r="F157" s="1777">
        <v>0</v>
      </c>
      <c r="G157" s="1777">
        <v>0</v>
      </c>
      <c r="H157" s="1686">
        <v>0</v>
      </c>
      <c r="I157" s="1784">
        <v>0</v>
      </c>
      <c r="J157" s="1781">
        <v>0</v>
      </c>
      <c r="K157" s="1781"/>
      <c r="L157" s="1785"/>
      <c r="M157" s="1781">
        <v>0</v>
      </c>
      <c r="N157" s="1785"/>
      <c r="O157" s="1781">
        <v>0</v>
      </c>
      <c r="P157" s="1781">
        <v>0</v>
      </c>
      <c r="R157" s="276"/>
    </row>
    <row r="158" spans="2:18">
      <c r="B158" s="1720" t="s">
        <v>334</v>
      </c>
      <c r="C158" s="1775">
        <v>2066</v>
      </c>
      <c r="D158" s="1776">
        <v>0</v>
      </c>
      <c r="E158" s="1683">
        <v>0</v>
      </c>
      <c r="F158" s="1777">
        <v>0</v>
      </c>
      <c r="G158" s="1777">
        <v>0</v>
      </c>
      <c r="H158" s="1686">
        <v>0</v>
      </c>
      <c r="I158" s="1784">
        <v>0</v>
      </c>
      <c r="J158" s="1781">
        <v>0</v>
      </c>
      <c r="K158" s="1781"/>
      <c r="L158" s="1785"/>
      <c r="M158" s="1781">
        <v>0</v>
      </c>
      <c r="N158" s="1785"/>
      <c r="O158" s="1781">
        <v>0</v>
      </c>
      <c r="P158" s="1781">
        <v>0</v>
      </c>
      <c r="R158" s="276"/>
    </row>
    <row r="159" spans="2:18">
      <c r="B159" s="1720" t="s">
        <v>334</v>
      </c>
      <c r="C159" s="1775">
        <v>2067</v>
      </c>
      <c r="D159" s="1776">
        <v>0</v>
      </c>
      <c r="E159" s="1683">
        <v>0</v>
      </c>
      <c r="F159" s="1777">
        <v>0</v>
      </c>
      <c r="G159" s="1777">
        <v>0</v>
      </c>
      <c r="H159" s="1686">
        <v>0</v>
      </c>
      <c r="I159" s="1784">
        <v>0</v>
      </c>
      <c r="J159" s="1781">
        <v>0</v>
      </c>
      <c r="K159" s="1781"/>
      <c r="L159" s="1785"/>
      <c r="M159" s="1781">
        <v>0</v>
      </c>
      <c r="N159" s="1785"/>
      <c r="O159" s="1781">
        <v>0</v>
      </c>
      <c r="P159" s="1781">
        <v>0</v>
      </c>
      <c r="R159" s="276"/>
    </row>
    <row r="160" spans="2:18" ht="13.5" thickBot="1">
      <c r="B160" s="1720" t="s">
        <v>334</v>
      </c>
      <c r="C160" s="1786">
        <v>2068</v>
      </c>
      <c r="D160" s="1787">
        <v>0</v>
      </c>
      <c r="E160" s="1689">
        <v>0</v>
      </c>
      <c r="F160" s="1788">
        <v>0</v>
      </c>
      <c r="G160" s="1788">
        <v>0</v>
      </c>
      <c r="H160" s="1690">
        <v>0</v>
      </c>
      <c r="I160" s="1789">
        <v>0</v>
      </c>
      <c r="J160" s="1790">
        <v>0</v>
      </c>
      <c r="K160" s="1781"/>
      <c r="L160" s="1791"/>
      <c r="M160" s="1790">
        <v>0</v>
      </c>
      <c r="N160" s="1791"/>
      <c r="O160" s="1790">
        <v>0</v>
      </c>
      <c r="P160" s="1790">
        <v>0</v>
      </c>
      <c r="R160" s="276"/>
    </row>
    <row r="161" spans="2:18">
      <c r="B161" s="1625"/>
      <c r="C161" s="1776" t="s">
        <v>473</v>
      </c>
      <c r="D161" s="1642"/>
      <c r="E161" s="1642">
        <v>1035552</v>
      </c>
      <c r="F161" s="1642"/>
      <c r="G161" s="1642"/>
      <c r="H161" s="1642">
        <v>4670143.8157202108</v>
      </c>
      <c r="I161" s="1642">
        <v>4670143.8157202108</v>
      </c>
      <c r="J161" s="1642">
        <v>0</v>
      </c>
      <c r="K161" s="1642"/>
      <c r="L161" s="1642"/>
      <c r="M161" s="1642"/>
      <c r="N161" s="1642"/>
      <c r="O161" s="1642"/>
      <c r="P161" s="1625"/>
      <c r="R161" s="276"/>
    </row>
    <row r="162" spans="2:18">
      <c r="B162" s="1625"/>
      <c r="C162" s="1625" t="s">
        <v>635</v>
      </c>
      <c r="D162" s="1720"/>
      <c r="E162" s="1625"/>
      <c r="F162" s="1625"/>
      <c r="G162" s="1625"/>
      <c r="H162" s="1625"/>
      <c r="I162" s="1641"/>
      <c r="J162" s="1641"/>
      <c r="K162" s="1642"/>
      <c r="L162" s="1641"/>
      <c r="M162" s="1641"/>
      <c r="N162" s="1641"/>
      <c r="O162" s="1641"/>
      <c r="P162" s="1625"/>
      <c r="R162" s="276"/>
    </row>
    <row r="163" spans="2:18">
      <c r="B163" s="1625"/>
      <c r="C163" s="1625"/>
      <c r="D163" s="1720"/>
      <c r="E163" s="1625"/>
      <c r="F163" s="1625"/>
      <c r="G163" s="1625"/>
      <c r="H163" s="1625"/>
      <c r="I163" s="1641"/>
      <c r="J163" s="1641"/>
      <c r="K163" s="1642"/>
      <c r="L163" s="1641"/>
      <c r="M163" s="1641"/>
      <c r="N163" s="1641"/>
      <c r="O163" s="1641"/>
      <c r="P163" s="1625"/>
      <c r="R163" s="276"/>
    </row>
    <row r="164" spans="2:18">
      <c r="B164" s="1625"/>
      <c r="C164" s="1792" t="s">
        <v>636</v>
      </c>
      <c r="D164" s="1720"/>
      <c r="E164" s="1625"/>
      <c r="F164" s="1625"/>
      <c r="G164" s="1625"/>
      <c r="H164" s="1625"/>
      <c r="I164" s="1641"/>
      <c r="J164" s="1641"/>
      <c r="K164" s="1642"/>
      <c r="L164" s="1641"/>
      <c r="M164" s="1641"/>
      <c r="N164" s="1641"/>
      <c r="O164" s="1641"/>
      <c r="P164" s="1625"/>
      <c r="R164" s="276"/>
    </row>
    <row r="165" spans="2:18">
      <c r="B165" s="1625"/>
      <c r="C165" s="1741" t="s">
        <v>474</v>
      </c>
      <c r="D165" s="1776"/>
      <c r="E165" s="1776"/>
      <c r="F165" s="1776"/>
      <c r="G165" s="1776"/>
      <c r="H165" s="1642"/>
      <c r="I165" s="1642"/>
      <c r="J165" s="1793"/>
      <c r="K165" s="1793"/>
      <c r="L165" s="1793"/>
      <c r="M165" s="1793"/>
      <c r="N165" s="1793"/>
      <c r="O165" s="1793"/>
      <c r="P165" s="1625"/>
      <c r="R165" s="276"/>
    </row>
    <row r="166" spans="2:18">
      <c r="B166" s="1625"/>
      <c r="C166" s="1741" t="s">
        <v>475</v>
      </c>
      <c r="D166" s="1776"/>
      <c r="E166" s="1776"/>
      <c r="F166" s="1776"/>
      <c r="G166" s="1776"/>
      <c r="H166" s="1642"/>
      <c r="I166" s="1642"/>
      <c r="J166" s="1793"/>
      <c r="K166" s="1793"/>
      <c r="L166" s="1793"/>
      <c r="M166" s="1793"/>
      <c r="N166" s="1793"/>
      <c r="O166" s="1793"/>
      <c r="P166" s="1625"/>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V99"/>
  <sheetViews>
    <sheetView zoomScale="81" zoomScaleNormal="81" zoomScaleSheetLayoutView="75" zoomScalePageLayoutView="80" workbookViewId="0">
      <selection activeCell="N35" sqref="N35:P52"/>
    </sheetView>
  </sheetViews>
  <sheetFormatPr defaultColWidth="9.28515625" defaultRowHeight="15"/>
  <cols>
    <col min="1" max="1" width="4.7109375" style="1023" customWidth="1"/>
    <col min="2" max="2" width="7.42578125" style="1023" customWidth="1"/>
    <col min="3" max="6" width="12.7109375" style="1023" customWidth="1"/>
    <col min="7" max="7" width="17.28515625" style="1023" customWidth="1"/>
    <col min="8" max="9" width="12.7109375" style="1023" customWidth="1"/>
    <col min="10" max="10" width="12" style="1023" customWidth="1"/>
    <col min="11" max="11" width="16.42578125" style="1023" bestFit="1" customWidth="1"/>
    <col min="12" max="12" width="22.28515625" style="1023" bestFit="1" customWidth="1"/>
    <col min="13" max="13" width="22.28515625" style="403" bestFit="1" customWidth="1"/>
    <col min="14" max="14" width="8.42578125" style="1023" customWidth="1"/>
    <col min="15" max="38" width="12.7109375" style="1023" customWidth="1"/>
    <col min="39" max="16384" width="9.28515625" style="1023"/>
  </cols>
  <sheetData>
    <row r="1" spans="1:22">
      <c r="A1" s="547"/>
    </row>
    <row r="2" spans="1:22" ht="15.75">
      <c r="N2" s="1024"/>
    </row>
    <row r="3" spans="1:22">
      <c r="A3" s="2192" t="str">
        <f>+'SWT TCOS'!F4</f>
        <v xml:space="preserve">AEP West SPP Member Transmission Companies </v>
      </c>
      <c r="B3" s="2192"/>
      <c r="C3" s="2192"/>
      <c r="D3" s="2192"/>
      <c r="E3" s="2192"/>
      <c r="F3" s="2192"/>
      <c r="G3" s="2192"/>
      <c r="H3" s="2192"/>
      <c r="I3" s="2192"/>
      <c r="J3" s="2192"/>
      <c r="K3" s="2192"/>
      <c r="L3" s="2192"/>
      <c r="M3" s="2192"/>
      <c r="N3" s="2192"/>
    </row>
    <row r="4" spans="1:22">
      <c r="A4" s="2316" t="str">
        <f>+'SWT WS A-1 - Plant'!A3</f>
        <v xml:space="preserve">Actual / Projected 2022 Rate Year Cost of Service Formula Rate </v>
      </c>
      <c r="B4" s="2302"/>
      <c r="C4" s="2302"/>
      <c r="D4" s="2302"/>
      <c r="E4" s="2302"/>
      <c r="F4" s="2302"/>
      <c r="G4" s="2302"/>
      <c r="H4" s="2302"/>
      <c r="I4" s="2302"/>
      <c r="J4" s="2302"/>
      <c r="K4" s="2302"/>
      <c r="L4" s="2302"/>
      <c r="M4" s="2302"/>
      <c r="N4" s="2302"/>
    </row>
    <row r="5" spans="1:22" ht="15.75" customHeight="1">
      <c r="A5" s="2302" t="s">
        <v>596</v>
      </c>
      <c r="B5" s="2302"/>
      <c r="C5" s="2302"/>
      <c r="D5" s="2302"/>
      <c r="E5" s="2302"/>
      <c r="F5" s="2302"/>
      <c r="G5" s="2302"/>
      <c r="H5" s="2302"/>
      <c r="I5" s="2302"/>
      <c r="J5" s="2302"/>
      <c r="K5" s="2302"/>
      <c r="L5" s="2302"/>
      <c r="M5" s="2302"/>
      <c r="N5" s="2302"/>
      <c r="O5" s="1412"/>
      <c r="P5" s="1412"/>
      <c r="Q5" s="1412"/>
      <c r="R5" s="1412"/>
      <c r="S5" s="1412"/>
      <c r="T5" s="1412"/>
      <c r="U5" s="1412"/>
    </row>
    <row r="6" spans="1:22" ht="15.75">
      <c r="A6" s="2243" t="str">
        <f>+'SWT TCOS'!F8</f>
        <v>AEP SOUTHWESTERN TRANSMISSION COMPANY</v>
      </c>
      <c r="B6" s="2243"/>
      <c r="C6" s="2243"/>
      <c r="D6" s="2243"/>
      <c r="E6" s="2243"/>
      <c r="F6" s="2243"/>
      <c r="G6" s="2243"/>
      <c r="H6" s="2243"/>
      <c r="I6" s="2243"/>
      <c r="J6" s="2243"/>
      <c r="K6" s="2243"/>
      <c r="L6" s="2243"/>
      <c r="M6" s="2243"/>
      <c r="N6" s="2243"/>
    </row>
    <row r="7" spans="1:22" ht="26.25">
      <c r="A7" s="1025"/>
      <c r="B7" s="1026"/>
      <c r="C7" s="1026"/>
      <c r="D7" s="1026"/>
      <c r="E7" s="1026"/>
      <c r="F7" s="1026"/>
      <c r="G7" s="1026"/>
      <c r="H7" s="1026"/>
      <c r="I7" s="1026"/>
      <c r="J7" s="1026"/>
      <c r="K7" s="1026"/>
      <c r="L7" s="335"/>
      <c r="M7" s="1027"/>
    </row>
    <row r="8" spans="1:22" ht="20.25">
      <c r="A8" s="1028"/>
      <c r="B8" s="1026"/>
      <c r="C8" s="1026"/>
      <c r="D8" s="1026"/>
      <c r="E8" s="1026"/>
      <c r="F8" s="1026"/>
      <c r="G8" s="1026"/>
      <c r="H8" s="1026"/>
      <c r="I8" s="1026"/>
      <c r="J8" s="1026"/>
      <c r="K8" s="1026"/>
      <c r="L8" s="1026"/>
      <c r="M8" s="2155"/>
    </row>
    <row r="9" spans="1:22" ht="20.25">
      <c r="A9" s="1026"/>
      <c r="B9" s="1026"/>
      <c r="C9" s="1794"/>
      <c r="D9" s="1794"/>
      <c r="E9" s="1794"/>
      <c r="F9" s="1794"/>
      <c r="G9" s="1794"/>
      <c r="H9" s="1794"/>
      <c r="I9" s="1794"/>
      <c r="J9" s="1794"/>
      <c r="K9" s="1030" t="s">
        <v>316</v>
      </c>
      <c r="L9" s="1030" t="s">
        <v>207</v>
      </c>
      <c r="M9" s="1031"/>
      <c r="N9" s="325"/>
      <c r="P9" s="325"/>
      <c r="R9" s="325"/>
      <c r="S9" s="325"/>
      <c r="T9" s="325"/>
      <c r="U9" s="276"/>
      <c r="V9" s="276"/>
    </row>
    <row r="10" spans="1:22" ht="20.25">
      <c r="A10" s="1794"/>
      <c r="B10" s="1032" t="s">
        <v>594</v>
      </c>
      <c r="C10" s="1794"/>
      <c r="D10" s="1794"/>
      <c r="E10" s="1794"/>
      <c r="F10" s="1794"/>
      <c r="G10" s="1794"/>
      <c r="H10" s="1794"/>
      <c r="I10" s="1794"/>
      <c r="J10" s="1026"/>
      <c r="K10" s="1030" t="s">
        <v>317</v>
      </c>
      <c r="L10" s="1030" t="s">
        <v>252</v>
      </c>
      <c r="M10" s="1030" t="s">
        <v>252</v>
      </c>
      <c r="N10"/>
      <c r="O10"/>
      <c r="P10"/>
      <c r="Q10"/>
      <c r="R10"/>
      <c r="S10" s="325"/>
      <c r="T10" s="1033"/>
      <c r="U10" s="276"/>
      <c r="V10" s="276"/>
    </row>
    <row r="11" spans="1:22" ht="20.25">
      <c r="A11" s="1794"/>
      <c r="B11" s="1034"/>
      <c r="C11" s="1026"/>
      <c r="D11" s="1794"/>
      <c r="E11" s="1794"/>
      <c r="F11" s="1794"/>
      <c r="G11" s="1794"/>
      <c r="H11" s="1794"/>
      <c r="I11" s="1794"/>
      <c r="J11" s="1026"/>
      <c r="K11" s="1794"/>
      <c r="L11" s="1794"/>
      <c r="M11" s="1035"/>
      <c r="N11"/>
      <c r="O11"/>
      <c r="P11"/>
      <c r="Q11"/>
      <c r="R11"/>
      <c r="S11" s="325"/>
      <c r="T11" s="1033"/>
      <c r="U11" s="276"/>
      <c r="V11" s="276"/>
    </row>
    <row r="12" spans="1:22" ht="20.25" customHeight="1">
      <c r="A12" s="1794"/>
      <c r="B12" s="1036">
        <v>1</v>
      </c>
      <c r="C12" s="1037" t="s">
        <v>638</v>
      </c>
      <c r="D12" s="1026"/>
      <c r="E12" s="1026"/>
      <c r="F12" s="1794"/>
      <c r="G12" s="1026"/>
      <c r="H12" s="1026"/>
      <c r="I12" s="1794"/>
      <c r="J12" s="1026"/>
      <c r="K12" s="1038">
        <v>0</v>
      </c>
      <c r="L12" s="1039">
        <f>+K12-M12</f>
        <v>0</v>
      </c>
      <c r="M12" s="986">
        <v>0</v>
      </c>
      <c r="N12"/>
      <c r="O12"/>
      <c r="P12"/>
      <c r="Q12"/>
      <c r="R12"/>
      <c r="S12" s="276"/>
      <c r="T12" s="325"/>
      <c r="U12" s="276"/>
      <c r="V12" s="276"/>
    </row>
    <row r="13" spans="1:22" ht="20.25" customHeight="1">
      <c r="A13" s="1794"/>
      <c r="B13" s="1036"/>
      <c r="C13" s="1034"/>
      <c r="D13" s="1026"/>
      <c r="E13" s="1026"/>
      <c r="F13" s="1794"/>
      <c r="G13" s="1026"/>
      <c r="H13" s="1026"/>
      <c r="I13" s="1794"/>
      <c r="J13" s="1026"/>
      <c r="K13" s="1795"/>
      <c r="L13" s="1041"/>
      <c r="M13" s="1041"/>
      <c r="N13"/>
      <c r="O13"/>
      <c r="P13"/>
      <c r="Q13"/>
      <c r="R13"/>
      <c r="S13" s="276"/>
      <c r="T13" s="325"/>
      <c r="U13" s="276"/>
      <c r="V13" s="276"/>
    </row>
    <row r="14" spans="1:22" ht="19.5">
      <c r="A14" s="1794"/>
      <c r="B14" s="1036">
        <f>+B12+1</f>
        <v>2</v>
      </c>
      <c r="C14" s="3" t="s">
        <v>609</v>
      </c>
      <c r="D14" s="1026"/>
      <c r="E14" s="1026"/>
      <c r="F14" s="1794"/>
      <c r="G14" s="1026"/>
      <c r="H14" s="1041"/>
      <c r="I14" s="1794"/>
      <c r="J14" s="1026"/>
      <c r="K14" s="1038">
        <v>0</v>
      </c>
      <c r="L14" s="1039">
        <f>+K14-M14</f>
        <v>0</v>
      </c>
      <c r="M14" s="986">
        <v>0</v>
      </c>
      <c r="N14"/>
      <c r="O14"/>
      <c r="P14"/>
      <c r="Q14"/>
      <c r="R14"/>
      <c r="S14" s="276"/>
      <c r="T14" s="276"/>
      <c r="U14" s="276"/>
      <c r="V14" s="276"/>
    </row>
    <row r="15" spans="1:22" ht="20.25">
      <c r="A15" s="1794"/>
      <c r="B15" s="1036"/>
      <c r="C15" s="1034"/>
      <c r="D15" s="1026"/>
      <c r="E15" s="1026"/>
      <c r="F15" s="1794"/>
      <c r="G15" s="1026"/>
      <c r="H15" s="1041"/>
      <c r="I15" s="1794"/>
      <c r="J15" s="1794"/>
      <c r="K15" s="1795"/>
      <c r="L15" s="1794"/>
      <c r="M15" s="1042"/>
      <c r="N15"/>
      <c r="O15"/>
      <c r="P15"/>
      <c r="Q15"/>
      <c r="R15"/>
      <c r="S15" s="276"/>
      <c r="T15" s="276"/>
      <c r="U15" s="276"/>
      <c r="V15" s="276"/>
    </row>
    <row r="16" spans="1:22" ht="18">
      <c r="A16" s="1794"/>
      <c r="C16" s="1037" t="s">
        <v>639</v>
      </c>
      <c r="D16" s="1026"/>
      <c r="E16" s="1026"/>
      <c r="F16" s="1794"/>
      <c r="G16" s="1026"/>
      <c r="H16" s="1026"/>
      <c r="I16" s="1794"/>
      <c r="J16" s="1794"/>
      <c r="K16" s="1795"/>
      <c r="L16" s="1039"/>
      <c r="M16" s="986"/>
      <c r="N16"/>
      <c r="O16"/>
      <c r="P16"/>
      <c r="Q16"/>
      <c r="R16"/>
      <c r="S16" s="276"/>
      <c r="T16" s="276"/>
      <c r="U16" s="276"/>
      <c r="V16" s="276"/>
    </row>
    <row r="17" spans="1:22" ht="19.5">
      <c r="A17" s="1794"/>
      <c r="B17" s="1036"/>
      <c r="C17" s="1043"/>
      <c r="D17" s="1031" t="s">
        <v>95</v>
      </c>
      <c r="E17" s="1026"/>
      <c r="F17" s="1794"/>
      <c r="G17" s="1796"/>
      <c r="H17" s="1041"/>
      <c r="I17" s="1794"/>
      <c r="J17" s="1794"/>
      <c r="K17" s="1038">
        <v>0</v>
      </c>
      <c r="L17" s="1039">
        <f>+K17-M17</f>
        <v>0</v>
      </c>
      <c r="M17" s="1038">
        <v>0</v>
      </c>
      <c r="N17"/>
      <c r="O17"/>
      <c r="P17"/>
      <c r="Q17"/>
      <c r="R17"/>
      <c r="S17" s="276"/>
      <c r="T17" s="276"/>
      <c r="U17" s="276"/>
      <c r="V17" s="276"/>
    </row>
    <row r="18" spans="1:22" ht="19.5">
      <c r="A18" s="1794"/>
      <c r="B18" s="1036"/>
      <c r="C18" s="1045"/>
      <c r="D18" s="1031" t="s">
        <v>96</v>
      </c>
      <c r="E18" s="1026"/>
      <c r="F18" s="1794"/>
      <c r="G18" s="1796"/>
      <c r="H18" s="1041"/>
      <c r="I18" s="1794"/>
      <c r="J18" s="1794"/>
      <c r="K18" s="1038">
        <v>0</v>
      </c>
      <c r="L18" s="1039">
        <f>+K18-M18</f>
        <v>0</v>
      </c>
      <c r="M18" s="1038">
        <v>0</v>
      </c>
      <c r="N18"/>
      <c r="O18"/>
      <c r="P18"/>
      <c r="Q18"/>
      <c r="R18"/>
      <c r="S18" s="276"/>
      <c r="T18" s="276"/>
      <c r="U18" s="276"/>
      <c r="V18" s="276"/>
    </row>
    <row r="19" spans="1:22" ht="19.5">
      <c r="A19" s="1794"/>
      <c r="B19" s="1036"/>
      <c r="C19" s="1045"/>
      <c r="D19" s="1031" t="s">
        <v>407</v>
      </c>
      <c r="E19" s="1026"/>
      <c r="F19" s="1794"/>
      <c r="G19" s="1796"/>
      <c r="H19" s="1041"/>
      <c r="I19" s="1794"/>
      <c r="J19" s="1794"/>
      <c r="K19" s="1038">
        <v>0</v>
      </c>
      <c r="L19" s="1039">
        <f>+K19-M19</f>
        <v>0</v>
      </c>
      <c r="M19" s="1038">
        <v>0</v>
      </c>
      <c r="N19"/>
      <c r="O19"/>
      <c r="P19"/>
      <c r="Q19"/>
      <c r="R19"/>
      <c r="S19" s="276"/>
      <c r="T19" s="276"/>
      <c r="U19" s="276"/>
      <c r="V19" s="276"/>
    </row>
    <row r="20" spans="1:22" ht="19.5">
      <c r="A20" s="1794"/>
      <c r="B20" s="1036"/>
      <c r="C20" s="1045"/>
      <c r="D20" s="1046" t="s">
        <v>97</v>
      </c>
      <c r="E20" s="1026"/>
      <c r="F20" s="1794"/>
      <c r="G20" s="1796"/>
      <c r="H20" s="1041"/>
      <c r="I20" s="1794"/>
      <c r="J20" s="1794"/>
      <c r="K20" s="1038">
        <v>0</v>
      </c>
      <c r="L20" s="1039">
        <f>+K20-M20</f>
        <v>0</v>
      </c>
      <c r="M20" s="1038">
        <v>0</v>
      </c>
      <c r="N20"/>
      <c r="O20"/>
      <c r="P20"/>
      <c r="Q20"/>
      <c r="R20"/>
      <c r="S20" s="276"/>
      <c r="T20" s="276"/>
      <c r="U20" s="276"/>
      <c r="V20" s="276"/>
    </row>
    <row r="21" spans="1:22" ht="19.5">
      <c r="A21" s="1794"/>
      <c r="B21" s="1036"/>
      <c r="C21" s="1045"/>
      <c r="D21" s="1046" t="s">
        <v>498</v>
      </c>
      <c r="E21" s="1026"/>
      <c r="F21" s="1794"/>
      <c r="G21" s="1796"/>
      <c r="H21" s="1041"/>
      <c r="I21" s="1794"/>
      <c r="J21" s="1794"/>
      <c r="K21" s="1038"/>
      <c r="L21" s="1039"/>
      <c r="M21" s="1038"/>
      <c r="N21"/>
      <c r="O21"/>
      <c r="P21"/>
      <c r="Q21"/>
      <c r="R21"/>
      <c r="S21" s="276"/>
      <c r="T21" s="276"/>
      <c r="U21" s="276"/>
      <c r="V21" s="276"/>
    </row>
    <row r="22" spans="1:22" ht="19.5">
      <c r="A22" s="1794"/>
      <c r="B22" s="1036">
        <f>+B14+1</f>
        <v>3</v>
      </c>
      <c r="C22" s="1045"/>
      <c r="D22" s="1031" t="s">
        <v>497</v>
      </c>
      <c r="E22" s="1026"/>
      <c r="F22" s="1794"/>
      <c r="G22" s="1796"/>
      <c r="H22" s="1041"/>
      <c r="I22" s="1794"/>
      <c r="J22" s="1794"/>
      <c r="K22" s="1047">
        <f>SUM(K17:K21)</f>
        <v>0</v>
      </c>
      <c r="L22" s="1039"/>
      <c r="M22" s="1047">
        <f>SUM(M17:M21)</f>
        <v>0</v>
      </c>
      <c r="N22"/>
      <c r="O22"/>
      <c r="P22"/>
      <c r="Q22"/>
      <c r="R22"/>
      <c r="S22" s="276"/>
      <c r="T22" s="276"/>
      <c r="U22" s="276"/>
      <c r="V22" s="276"/>
    </row>
    <row r="23" spans="1:22" ht="19.5">
      <c r="A23" s="1794"/>
      <c r="B23" s="1036"/>
      <c r="C23" s="1041"/>
      <c r="D23" s="1026"/>
      <c r="E23" s="1026"/>
      <c r="F23" s="1794"/>
      <c r="G23" s="1796"/>
      <c r="H23" s="1041"/>
      <c r="I23" s="1794"/>
      <c r="J23" s="1794"/>
      <c r="K23" s="1794"/>
      <c r="L23" s="1794"/>
      <c r="M23" s="1041"/>
      <c r="N23"/>
      <c r="O23"/>
      <c r="P23"/>
      <c r="Q23"/>
      <c r="R23"/>
      <c r="S23" s="276"/>
      <c r="T23" s="276"/>
      <c r="U23" s="276"/>
      <c r="V23" s="276"/>
    </row>
    <row r="24" spans="1:22" ht="19.5">
      <c r="A24" s="1794"/>
      <c r="B24" s="1036"/>
      <c r="C24" s="1048"/>
      <c r="D24" s="1026"/>
      <c r="E24" s="1026"/>
      <c r="F24" s="1794"/>
      <c r="G24" s="1796"/>
      <c r="H24" s="1041"/>
      <c r="I24" s="1794"/>
      <c r="J24" s="1794"/>
      <c r="K24" s="1794"/>
      <c r="L24" s="1794"/>
      <c r="M24" s="1041"/>
      <c r="N24"/>
      <c r="O24"/>
      <c r="P24"/>
      <c r="Q24"/>
      <c r="R24"/>
      <c r="S24" s="276"/>
      <c r="T24" s="276"/>
      <c r="U24" s="276"/>
      <c r="V24" s="276"/>
    </row>
    <row r="25" spans="1:22" ht="19.5">
      <c r="A25" s="1794"/>
      <c r="B25" s="1036"/>
      <c r="C25" s="1041"/>
      <c r="D25" s="1026"/>
      <c r="E25" s="1026"/>
      <c r="F25" s="1794"/>
      <c r="G25" s="1796"/>
      <c r="H25" s="1041"/>
      <c r="I25" s="1794"/>
      <c r="J25" s="1794"/>
      <c r="K25" s="1794"/>
      <c r="L25" s="1794"/>
      <c r="M25" s="1041"/>
      <c r="N25"/>
      <c r="O25"/>
      <c r="P25"/>
      <c r="Q25"/>
      <c r="R25"/>
      <c r="S25" s="276"/>
      <c r="T25" s="276"/>
      <c r="U25" s="276"/>
      <c r="V25" s="276"/>
    </row>
    <row r="26" spans="1:22" ht="19.5">
      <c r="A26" s="1794"/>
      <c r="B26" s="1036"/>
      <c r="C26" s="3" t="s">
        <v>598</v>
      </c>
      <c r="D26" s="1026"/>
      <c r="E26" s="1026"/>
      <c r="F26" s="1794"/>
      <c r="G26" s="1796"/>
      <c r="H26" s="1041"/>
      <c r="I26" s="1794"/>
      <c r="J26" s="1794"/>
      <c r="K26" s="394"/>
      <c r="L26" s="394"/>
      <c r="M26" s="394"/>
      <c r="N26"/>
      <c r="O26"/>
      <c r="P26"/>
      <c r="Q26"/>
      <c r="R26"/>
      <c r="S26" s="276"/>
      <c r="T26" s="276"/>
      <c r="U26" s="276"/>
      <c r="V26" s="276"/>
    </row>
    <row r="27" spans="1:22" ht="19.5">
      <c r="A27" s="1794"/>
      <c r="B27" s="1036"/>
      <c r="C27" s="404">
        <v>1</v>
      </c>
      <c r="D27" s="1031" t="s">
        <v>98</v>
      </c>
      <c r="E27" s="1026"/>
      <c r="F27" s="1794"/>
      <c r="G27" s="1796"/>
      <c r="H27" s="1041"/>
      <c r="I27" s="1794"/>
      <c r="J27" s="1794"/>
      <c r="K27" s="1038">
        <v>0</v>
      </c>
      <c r="L27" s="1039">
        <f t="shared" ref="L27:L28" si="0">+K27-M27</f>
        <v>0</v>
      </c>
      <c r="M27" s="1038">
        <v>0</v>
      </c>
      <c r="N27"/>
      <c r="O27"/>
      <c r="P27"/>
      <c r="Q27"/>
      <c r="R27"/>
      <c r="S27" s="276"/>
      <c r="T27" s="276"/>
      <c r="U27" s="276"/>
      <c r="V27" s="276"/>
    </row>
    <row r="28" spans="1:22" ht="19.5">
      <c r="A28" s="1794"/>
      <c r="B28" s="1036"/>
      <c r="C28" s="404">
        <v>2</v>
      </c>
      <c r="D28" s="1031" t="s">
        <v>599</v>
      </c>
      <c r="E28" s="1026"/>
      <c r="F28" s="1794"/>
      <c r="G28" s="1796"/>
      <c r="H28" s="1041"/>
      <c r="I28" s="1794"/>
      <c r="J28" s="1794"/>
      <c r="K28" s="1038">
        <v>0</v>
      </c>
      <c r="L28" s="1039">
        <f t="shared" si="0"/>
        <v>0</v>
      </c>
      <c r="M28" s="1038">
        <v>0</v>
      </c>
      <c r="N28"/>
      <c r="O28"/>
      <c r="P28"/>
      <c r="Q28"/>
      <c r="R28"/>
      <c r="S28" s="276"/>
      <c r="T28" s="276"/>
      <c r="U28" s="276"/>
      <c r="V28" s="276"/>
    </row>
    <row r="29" spans="1:22" ht="19.5">
      <c r="A29" s="1794"/>
      <c r="B29" s="1036">
        <f>+B22+1</f>
        <v>4</v>
      </c>
      <c r="C29" s="3"/>
      <c r="D29" s="1031" t="s">
        <v>610</v>
      </c>
      <c r="E29" s="1026"/>
      <c r="F29" s="1794"/>
      <c r="G29" s="1796"/>
      <c r="H29" s="1041"/>
      <c r="I29" s="1794"/>
      <c r="J29" s="1794"/>
      <c r="K29" s="1049">
        <f>+SUM(K27:K28)</f>
        <v>0</v>
      </c>
      <c r="L29" s="1039"/>
      <c r="M29" s="1049">
        <f>+SUM(M27:M28)</f>
        <v>0</v>
      </c>
      <c r="N29"/>
      <c r="O29"/>
      <c r="P29"/>
      <c r="Q29"/>
      <c r="R29"/>
      <c r="S29" s="276"/>
      <c r="T29" s="276"/>
      <c r="U29" s="276"/>
      <c r="V29" s="276"/>
    </row>
    <row r="30" spans="1:22" ht="19.5">
      <c r="A30" s="1794"/>
      <c r="B30" s="1036"/>
      <c r="E30" s="1026"/>
      <c r="F30" s="1794"/>
      <c r="G30" s="1796"/>
      <c r="H30" s="1041"/>
      <c r="I30" s="1794"/>
      <c r="J30" s="1794"/>
      <c r="M30" s="1023"/>
      <c r="N30"/>
      <c r="O30"/>
      <c r="P30"/>
      <c r="Q30"/>
      <c r="R30"/>
      <c r="S30" s="276"/>
      <c r="T30" s="276"/>
      <c r="U30" s="276"/>
      <c r="V30" s="276"/>
    </row>
    <row r="31" spans="1:22" ht="20.25">
      <c r="A31" s="1794"/>
      <c r="B31" s="1036"/>
      <c r="C31" s="1034"/>
      <c r="D31" s="1026"/>
      <c r="E31" s="1026"/>
      <c r="F31" s="1794"/>
      <c r="G31" s="1796"/>
      <c r="H31" s="1041"/>
      <c r="I31" s="1794"/>
      <c r="J31" s="1794"/>
      <c r="K31" s="1794"/>
      <c r="L31" s="1794"/>
      <c r="M31" s="1050"/>
      <c r="N31"/>
      <c r="O31"/>
      <c r="P31"/>
      <c r="Q31"/>
      <c r="R31"/>
      <c r="S31" s="276"/>
      <c r="T31" s="276"/>
      <c r="U31" s="276"/>
      <c r="V31" s="276"/>
    </row>
    <row r="32" spans="1:22" ht="20.25" customHeight="1">
      <c r="A32" s="1794"/>
      <c r="B32" s="1036"/>
      <c r="C32" s="3" t="s">
        <v>595</v>
      </c>
      <c r="D32" s="1026"/>
      <c r="E32" s="1026"/>
      <c r="F32" s="1794"/>
      <c r="G32" s="1026"/>
      <c r="H32" s="1026"/>
      <c r="I32" s="1794"/>
      <c r="J32" s="1794"/>
      <c r="K32" s="1026"/>
      <c r="L32" s="1026"/>
      <c r="M32" s="1038">
        <v>210584.8</v>
      </c>
      <c r="N32"/>
      <c r="O32"/>
      <c r="P32"/>
      <c r="Q32"/>
      <c r="R32"/>
      <c r="S32" s="276"/>
      <c r="T32" s="325"/>
      <c r="U32" s="276"/>
      <c r="V32" s="276"/>
    </row>
    <row r="33" spans="1:22" ht="19.899999999999999" customHeight="1">
      <c r="A33" s="1794"/>
      <c r="B33" s="1036"/>
      <c r="C33" s="1048"/>
      <c r="D33" s="1794"/>
      <c r="E33" s="1794"/>
      <c r="F33" s="1794"/>
      <c r="G33" s="1794"/>
      <c r="H33" s="1026"/>
      <c r="I33" s="1794"/>
      <c r="J33" s="1794"/>
      <c r="K33" s="1794"/>
      <c r="L33" s="1026"/>
      <c r="M33" s="1797"/>
      <c r="N33"/>
      <c r="O33"/>
      <c r="P33"/>
      <c r="Q33"/>
      <c r="R33"/>
      <c r="S33" s="276"/>
      <c r="T33" s="323"/>
      <c r="U33" s="276"/>
      <c r="V33" s="276"/>
    </row>
    <row r="34" spans="1:22" ht="19.899999999999999" customHeight="1">
      <c r="A34" s="1794"/>
      <c r="B34" s="1036"/>
      <c r="C34" s="1051" t="s">
        <v>99</v>
      </c>
      <c r="D34" s="1026"/>
      <c r="E34" s="1794"/>
      <c r="F34" s="1026"/>
      <c r="G34" s="1794"/>
      <c r="H34" s="1794"/>
      <c r="I34" s="1794"/>
      <c r="J34" s="1794"/>
      <c r="K34" s="1794"/>
      <c r="L34" s="1026"/>
      <c r="M34" s="1797"/>
      <c r="N34"/>
      <c r="O34"/>
      <c r="P34"/>
      <c r="Q34"/>
      <c r="R34"/>
      <c r="S34" s="276"/>
      <c r="T34" s="323"/>
      <c r="U34" s="276"/>
      <c r="V34" s="276"/>
    </row>
    <row r="35" spans="1:22" ht="19.899999999999999" customHeight="1">
      <c r="A35" s="1794"/>
      <c r="B35" s="1036"/>
      <c r="C35" s="404"/>
      <c r="D35" s="1053" t="s">
        <v>100</v>
      </c>
      <c r="E35" s="1054"/>
      <c r="F35" s="1026"/>
      <c r="G35" s="1794"/>
      <c r="H35" s="1794"/>
      <c r="I35" s="1794"/>
      <c r="J35" s="1794"/>
      <c r="K35" s="1794"/>
      <c r="L35" s="1026"/>
      <c r="M35" s="1038">
        <v>0</v>
      </c>
      <c r="N35"/>
      <c r="O35"/>
      <c r="P35"/>
      <c r="Q35"/>
      <c r="R35"/>
      <c r="S35" s="276"/>
      <c r="T35" s="323"/>
      <c r="U35" s="276"/>
      <c r="V35" s="276"/>
    </row>
    <row r="36" spans="1:22" ht="19.899999999999999" customHeight="1">
      <c r="A36" s="1794"/>
      <c r="B36" s="1036"/>
      <c r="C36" s="404"/>
      <c r="D36" s="1053" t="s">
        <v>101</v>
      </c>
      <c r="E36" s="1054"/>
      <c r="F36" s="1026"/>
      <c r="G36" s="1794"/>
      <c r="H36" s="1794"/>
      <c r="I36" s="1794"/>
      <c r="J36" s="1794"/>
      <c r="K36" s="1794"/>
      <c r="L36" s="1026"/>
      <c r="M36" s="1038">
        <v>0</v>
      </c>
      <c r="N36"/>
      <c r="O36"/>
      <c r="P36"/>
      <c r="Q36"/>
      <c r="R36"/>
      <c r="S36" s="276"/>
      <c r="T36" s="323"/>
      <c r="U36" s="276"/>
      <c r="V36" s="276"/>
    </row>
    <row r="37" spans="1:22" ht="19.899999999999999" customHeight="1">
      <c r="A37" s="1794"/>
      <c r="B37" s="1036"/>
      <c r="C37" s="404"/>
      <c r="D37" s="1053" t="s">
        <v>102</v>
      </c>
      <c r="E37" s="1054"/>
      <c r="F37" s="1026"/>
      <c r="G37" s="1794"/>
      <c r="H37" s="1794"/>
      <c r="I37" s="1794"/>
      <c r="J37" s="1794"/>
      <c r="K37" s="1794"/>
      <c r="L37" s="1026"/>
      <c r="M37" s="1038">
        <v>0</v>
      </c>
      <c r="N37"/>
      <c r="O37"/>
      <c r="P37"/>
      <c r="Q37"/>
      <c r="R37"/>
      <c r="S37" s="276"/>
      <c r="T37" s="323"/>
      <c r="U37" s="276"/>
      <c r="V37" s="276"/>
    </row>
    <row r="38" spans="1:22" ht="19.899999999999999" customHeight="1">
      <c r="A38" s="1794"/>
      <c r="B38" s="1036"/>
      <c r="C38" s="404"/>
      <c r="D38" s="1053" t="s">
        <v>103</v>
      </c>
      <c r="E38" s="1054"/>
      <c r="F38" s="1026"/>
      <c r="G38" s="1794"/>
      <c r="H38" s="1794"/>
      <c r="I38" s="1794"/>
      <c r="J38" s="1794"/>
      <c r="K38" s="1026"/>
      <c r="L38" s="1026"/>
      <c r="M38" s="1038">
        <v>0</v>
      </c>
      <c r="N38"/>
      <c r="O38"/>
      <c r="P38"/>
      <c r="Q38"/>
      <c r="R38"/>
      <c r="S38" s="276"/>
      <c r="T38" s="323"/>
      <c r="U38" s="276"/>
      <c r="V38" s="276"/>
    </row>
    <row r="39" spans="1:22" ht="19.899999999999999" customHeight="1">
      <c r="A39" s="1794"/>
      <c r="B39" s="1036"/>
      <c r="C39" s="404"/>
      <c r="D39" s="1053" t="s">
        <v>104</v>
      </c>
      <c r="E39" s="1055"/>
      <c r="F39" s="1026"/>
      <c r="G39" s="1794"/>
      <c r="H39" s="1794"/>
      <c r="I39" s="1794"/>
      <c r="J39" s="1794"/>
      <c r="K39" s="1794"/>
      <c r="L39" s="1026"/>
      <c r="M39" s="1038">
        <v>154851.68</v>
      </c>
      <c r="N39"/>
      <c r="O39"/>
      <c r="P39"/>
      <c r="Q39"/>
      <c r="R39"/>
      <c r="S39" s="276"/>
      <c r="T39" s="323"/>
      <c r="U39" s="276"/>
      <c r="V39" s="276"/>
    </row>
    <row r="40" spans="1:22" ht="19.899999999999999" customHeight="1">
      <c r="A40" s="1794"/>
      <c r="B40" s="1036"/>
      <c r="C40" s="404"/>
      <c r="D40" s="1053" t="s">
        <v>105</v>
      </c>
      <c r="E40" s="1054"/>
      <c r="F40" s="1794"/>
      <c r="G40" s="1794"/>
      <c r="H40" s="1794"/>
      <c r="I40" s="1794"/>
      <c r="J40" s="1794"/>
      <c r="K40" s="1794"/>
      <c r="L40" s="1026"/>
      <c r="M40" s="1038">
        <v>0</v>
      </c>
      <c r="N40"/>
      <c r="O40"/>
      <c r="P40"/>
      <c r="Q40"/>
      <c r="R40"/>
      <c r="S40" s="276"/>
      <c r="T40" s="323"/>
      <c r="U40" s="276"/>
      <c r="V40" s="276"/>
    </row>
    <row r="41" spans="1:22" ht="19.899999999999999" customHeight="1">
      <c r="A41" s="1794"/>
      <c r="B41" s="1036"/>
      <c r="C41" s="404"/>
      <c r="D41" s="1053" t="s">
        <v>106</v>
      </c>
      <c r="E41" s="1054"/>
      <c r="F41" s="1794"/>
      <c r="G41" s="1794"/>
      <c r="H41" s="1794"/>
      <c r="I41" s="1794"/>
      <c r="J41" s="1794"/>
      <c r="K41" s="1794"/>
      <c r="L41" s="1026"/>
      <c r="M41" s="1038">
        <v>0</v>
      </c>
      <c r="N41"/>
      <c r="O41"/>
      <c r="P41"/>
      <c r="Q41"/>
      <c r="R41"/>
      <c r="S41" s="276"/>
      <c r="T41" s="323"/>
      <c r="U41" s="276"/>
      <c r="V41" s="276"/>
    </row>
    <row r="42" spans="1:22" ht="19.899999999999999" customHeight="1">
      <c r="A42" s="1794"/>
      <c r="B42" s="1036"/>
      <c r="C42" s="404"/>
      <c r="D42" s="1053" t="s">
        <v>107</v>
      </c>
      <c r="E42" s="1054"/>
      <c r="F42" s="1794"/>
      <c r="G42" s="1794"/>
      <c r="H42" s="1794"/>
      <c r="I42" s="1794"/>
      <c r="J42" s="1794"/>
      <c r="K42" s="1794"/>
      <c r="L42" s="1026"/>
      <c r="M42" s="1038">
        <v>64.09</v>
      </c>
      <c r="N42"/>
      <c r="O42"/>
      <c r="P42"/>
      <c r="Q42" s="276"/>
      <c r="R42" s="276"/>
      <c r="S42" s="276"/>
      <c r="T42" s="323"/>
      <c r="U42" s="276"/>
      <c r="V42" s="276"/>
    </row>
    <row r="43" spans="1:22" ht="19.899999999999999" customHeight="1">
      <c r="A43" s="1794"/>
      <c r="B43" s="1036"/>
      <c r="C43" s="404"/>
      <c r="D43" s="1053" t="s">
        <v>108</v>
      </c>
      <c r="E43" s="1054"/>
      <c r="F43" s="1794"/>
      <c r="G43" s="1794"/>
      <c r="H43" s="1794"/>
      <c r="I43" s="1794"/>
      <c r="J43" s="1794"/>
      <c r="K43" s="1794"/>
      <c r="L43" s="1026"/>
      <c r="M43" s="1038">
        <v>0</v>
      </c>
      <c r="N43"/>
      <c r="O43"/>
      <c r="P43"/>
      <c r="Q43" s="276"/>
      <c r="R43" s="276"/>
      <c r="S43" s="276"/>
      <c r="T43" s="323"/>
      <c r="U43" s="276"/>
      <c r="V43" s="276"/>
    </row>
    <row r="44" spans="1:22" ht="19.899999999999999" customHeight="1">
      <c r="A44" s="1794"/>
      <c r="B44" s="1036"/>
      <c r="C44" s="404"/>
      <c r="D44" s="1056" t="s">
        <v>109</v>
      </c>
      <c r="E44" s="1054"/>
      <c r="F44" s="1794"/>
      <c r="G44" s="1794"/>
      <c r="H44" s="1794"/>
      <c r="I44" s="1794"/>
      <c r="J44" s="1794"/>
      <c r="K44" s="1794"/>
      <c r="L44" s="1026"/>
      <c r="M44" s="1038">
        <v>0</v>
      </c>
      <c r="N44"/>
      <c r="O44"/>
      <c r="P44"/>
      <c r="Q44" s="276"/>
      <c r="R44" s="276"/>
      <c r="S44" s="276"/>
      <c r="T44" s="323"/>
      <c r="U44" s="276"/>
      <c r="V44" s="276"/>
    </row>
    <row r="45" spans="1:22" ht="19.899999999999999" customHeight="1">
      <c r="A45" s="1794"/>
      <c r="B45" s="1036"/>
      <c r="C45" s="404"/>
      <c r="D45" s="1057" t="s">
        <v>315</v>
      </c>
      <c r="E45" s="1054"/>
      <c r="F45" s="1794"/>
      <c r="G45" s="1794"/>
      <c r="H45" s="1794"/>
      <c r="I45" s="1794"/>
      <c r="J45" s="1794"/>
      <c r="K45" s="1794"/>
      <c r="L45" s="1026"/>
      <c r="M45" s="1038">
        <v>14386.19</v>
      </c>
      <c r="N45"/>
      <c r="O45"/>
      <c r="P45"/>
      <c r="Q45" s="276"/>
      <c r="R45" s="276"/>
      <c r="S45" s="276"/>
      <c r="T45" s="323"/>
      <c r="U45" s="276"/>
      <c r="V45" s="276"/>
    </row>
    <row r="46" spans="1:22" ht="19.899999999999999" customHeight="1">
      <c r="A46" s="1794"/>
      <c r="B46" s="1058">
        <f>+B29+1</f>
        <v>5</v>
      </c>
      <c r="C46" s="1059"/>
      <c r="D46" s="1059"/>
      <c r="E46" s="1059"/>
      <c r="F46" s="1059"/>
      <c r="G46" s="1059"/>
      <c r="H46" s="1059"/>
      <c r="I46" s="3" t="s">
        <v>640</v>
      </c>
      <c r="J46" s="1060"/>
      <c r="K46" s="1026"/>
      <c r="L46" s="1026"/>
      <c r="M46" s="1061">
        <f>+M32-SUM(M35:M45)</f>
        <v>41282.839999999997</v>
      </c>
      <c r="N46"/>
      <c r="O46"/>
      <c r="P46"/>
      <c r="Q46" s="276"/>
      <c r="R46" s="276"/>
      <c r="S46" s="276"/>
      <c r="T46" s="323"/>
      <c r="U46" s="276"/>
      <c r="V46" s="276"/>
    </row>
    <row r="47" spans="1:22" ht="19.899999999999999" customHeight="1">
      <c r="A47" s="1794"/>
      <c r="B47" s="1058"/>
      <c r="C47" s="1059"/>
      <c r="D47" s="1059"/>
      <c r="E47" s="1059"/>
      <c r="F47" s="1059"/>
      <c r="G47" s="1059"/>
      <c r="H47" s="1059"/>
      <c r="I47" s="1059"/>
      <c r="J47" s="1059"/>
      <c r="K47" s="1794"/>
      <c r="L47" s="1062"/>
      <c r="M47" s="1041"/>
      <c r="N47"/>
      <c r="O47"/>
      <c r="P47"/>
      <c r="Q47" s="276"/>
      <c r="R47" s="276"/>
      <c r="S47" s="276"/>
      <c r="T47" s="323"/>
      <c r="U47" s="276"/>
      <c r="V47" s="276"/>
    </row>
    <row r="48" spans="1:22" ht="39.75" customHeight="1">
      <c r="A48" s="1794"/>
      <c r="B48" s="1058">
        <f>+B46+1</f>
        <v>6</v>
      </c>
      <c r="C48" s="2258" t="s">
        <v>591</v>
      </c>
      <c r="D48" s="2258"/>
      <c r="E48" s="2258"/>
      <c r="F48" s="2258"/>
      <c r="G48" s="2258"/>
      <c r="H48" s="2258"/>
      <c r="I48" s="2258"/>
      <c r="J48" s="2258"/>
      <c r="K48" s="1038">
        <v>0</v>
      </c>
      <c r="L48" s="1039"/>
      <c r="M48" s="1038">
        <v>0</v>
      </c>
      <c r="N48"/>
      <c r="O48"/>
      <c r="P48"/>
      <c r="Q48" s="276"/>
      <c r="R48" s="276"/>
      <c r="S48" s="276"/>
      <c r="T48" s="323"/>
      <c r="U48" s="276"/>
      <c r="V48" s="276"/>
    </row>
    <row r="49" spans="1:22" ht="19.899999999999999" customHeight="1">
      <c r="A49" s="1794"/>
      <c r="B49" s="1058"/>
      <c r="C49" s="2"/>
      <c r="D49" s="1063"/>
      <c r="E49" s="1063"/>
      <c r="F49" s="1064"/>
      <c r="G49" s="1065"/>
      <c r="H49" s="1064"/>
      <c r="I49" s="1064"/>
      <c r="J49" s="1064"/>
      <c r="K49" s="1066"/>
      <c r="L49" s="1039"/>
      <c r="M49" s="1066"/>
      <c r="N49"/>
      <c r="O49"/>
      <c r="P49"/>
      <c r="Q49" s="276"/>
      <c r="R49" s="276"/>
      <c r="S49" s="276"/>
      <c r="T49" s="323"/>
      <c r="U49" s="276"/>
      <c r="V49" s="276"/>
    </row>
    <row r="50" spans="1:22" ht="19.5">
      <c r="A50" s="1794"/>
      <c r="B50" s="1058">
        <f>+B48+1</f>
        <v>7</v>
      </c>
      <c r="C50" s="2258" t="s">
        <v>592</v>
      </c>
      <c r="D50" s="2258"/>
      <c r="E50" s="2258"/>
      <c r="F50" s="2258"/>
      <c r="G50" s="2258"/>
      <c r="H50" s="2258"/>
      <c r="I50" s="2258"/>
      <c r="J50" s="2258"/>
      <c r="K50" s="1038">
        <v>0</v>
      </c>
      <c r="L50" s="1039"/>
      <c r="M50" s="1038">
        <v>0</v>
      </c>
      <c r="N50"/>
      <c r="O50"/>
      <c r="P50"/>
      <c r="Q50" s="276"/>
      <c r="R50" s="276"/>
      <c r="S50" s="276"/>
      <c r="T50" s="323"/>
      <c r="U50" s="276"/>
      <c r="V50" s="276"/>
    </row>
    <row r="51" spans="1:22" ht="19.899999999999999" customHeight="1">
      <c r="A51" s="1794"/>
      <c r="B51" s="1058"/>
      <c r="C51" s="3"/>
      <c r="D51" s="1060"/>
      <c r="E51" s="1060"/>
      <c r="F51" s="1059"/>
      <c r="G51" s="1067"/>
      <c r="H51" s="1059"/>
      <c r="I51" s="1059"/>
      <c r="J51" s="1059"/>
      <c r="K51" s="1066"/>
      <c r="L51" s="1039"/>
      <c r="M51" s="1066"/>
      <c r="N51"/>
      <c r="O51"/>
      <c r="P51"/>
      <c r="Q51" s="276"/>
      <c r="R51" s="276"/>
      <c r="S51" s="276"/>
      <c r="T51" s="323"/>
      <c r="U51" s="276"/>
      <c r="V51" s="276"/>
    </row>
    <row r="52" spans="1:22" ht="20.25" customHeight="1" thickBot="1">
      <c r="A52" s="1794"/>
      <c r="B52" s="1058">
        <f>+B50+1</f>
        <v>8</v>
      </c>
      <c r="C52" s="3" t="str">
        <f>"Total Revenue Credits - Sum lines "&amp;B12&amp;" through "&amp;B50&amp;""</f>
        <v>Total Revenue Credits - Sum lines 1 through 7</v>
      </c>
      <c r="D52" s="1060"/>
      <c r="E52" s="1060"/>
      <c r="F52" s="1059"/>
      <c r="G52" s="1060"/>
      <c r="H52" s="1060"/>
      <c r="I52" s="1059"/>
      <c r="J52" s="1059"/>
      <c r="K52" s="1794"/>
      <c r="L52" s="1794"/>
      <c r="M52" s="1068">
        <f>+M12+M14+M22+M29+M46+M48+M50</f>
        <v>41282.839999999997</v>
      </c>
      <c r="N52"/>
      <c r="O52"/>
      <c r="P52"/>
      <c r="Q52" s="276"/>
      <c r="R52" s="276"/>
      <c r="S52" s="276"/>
      <c r="T52" s="325"/>
      <c r="U52" s="276"/>
      <c r="V52" s="276"/>
    </row>
    <row r="53" spans="1:22" ht="19.899999999999999" customHeight="1" thickTop="1">
      <c r="A53" s="1794"/>
      <c r="B53" s="1794"/>
      <c r="C53" s="1794"/>
      <c r="D53" s="57"/>
      <c r="E53" s="1794"/>
      <c r="F53" s="1794"/>
      <c r="G53" s="1794"/>
      <c r="H53" s="1794"/>
      <c r="I53" s="1794"/>
      <c r="J53" s="1794"/>
      <c r="K53" s="1794"/>
      <c r="L53" s="1062"/>
      <c r="M53" s="276"/>
      <c r="N53" s="276"/>
      <c r="O53" s="276"/>
      <c r="P53" s="276"/>
      <c r="Q53" s="276"/>
      <c r="R53" s="276"/>
      <c r="S53" s="276"/>
      <c r="T53" s="323"/>
      <c r="U53" s="276"/>
      <c r="V53" s="276"/>
    </row>
    <row r="54" spans="1:22" ht="20.25">
      <c r="A54" s="1794"/>
      <c r="B54" s="1069"/>
      <c r="C54" s="1069"/>
      <c r="D54" s="1026"/>
      <c r="E54" s="1026"/>
      <c r="F54" s="1070"/>
      <c r="G54" s="1070"/>
      <c r="H54" s="1070"/>
      <c r="I54" s="1070"/>
      <c r="J54" s="1070"/>
      <c r="K54" s="1070"/>
      <c r="L54" s="1798"/>
      <c r="M54" s="276"/>
      <c r="N54" s="869"/>
      <c r="O54" s="869"/>
      <c r="P54" s="869"/>
      <c r="Q54" s="869"/>
      <c r="R54" s="270"/>
      <c r="S54" s="270"/>
      <c r="T54" s="276"/>
      <c r="U54" s="276"/>
      <c r="V54" s="276"/>
    </row>
    <row r="55" spans="1:22" ht="12.75">
      <c r="A55" s="1794"/>
      <c r="B55" s="1794"/>
      <c r="C55" s="1026"/>
      <c r="D55" s="1026"/>
      <c r="E55" s="1026"/>
      <c r="F55" s="1070"/>
      <c r="G55" s="1070"/>
      <c r="H55" s="1070"/>
      <c r="I55" s="1070"/>
      <c r="J55" s="1070"/>
      <c r="K55" s="1070"/>
      <c r="L55" s="1794"/>
      <c r="M55" s="276"/>
      <c r="N55" s="869"/>
      <c r="O55" s="869"/>
      <c r="P55" s="869"/>
      <c r="Q55" s="869"/>
      <c r="R55" s="276"/>
      <c r="S55" s="276"/>
      <c r="T55" s="276"/>
      <c r="U55" s="276"/>
      <c r="V55" s="276"/>
    </row>
    <row r="56" spans="1:22">
      <c r="A56" s="1794"/>
      <c r="B56" s="1794"/>
      <c r="C56" s="1041" t="s">
        <v>593</v>
      </c>
      <c r="E56" s="1026"/>
      <c r="F56" s="1070"/>
      <c r="G56" s="1070"/>
      <c r="H56" s="1070"/>
      <c r="I56" s="1070"/>
      <c r="J56" s="1070"/>
      <c r="K56" s="1070"/>
      <c r="L56" s="1794"/>
      <c r="M56" s="276"/>
      <c r="N56" s="869"/>
      <c r="O56" s="869"/>
      <c r="P56" s="869"/>
      <c r="Q56" s="869"/>
      <c r="R56" s="276"/>
      <c r="S56" s="276"/>
      <c r="T56" s="276"/>
      <c r="U56" s="276"/>
      <c r="V56" s="276"/>
    </row>
    <row r="57" spans="1:22" ht="12.75" customHeight="1">
      <c r="A57" s="276"/>
      <c r="B57" s="276"/>
      <c r="C57" s="276"/>
      <c r="D57" s="276"/>
      <c r="E57" s="276"/>
      <c r="F57" s="276"/>
      <c r="G57" s="276"/>
      <c r="H57" s="276"/>
      <c r="I57" s="276"/>
      <c r="J57" s="276"/>
      <c r="K57" s="276"/>
      <c r="L57" s="276"/>
      <c r="M57" s="276"/>
      <c r="N57" s="276"/>
      <c r="O57" s="276"/>
      <c r="P57" s="276"/>
      <c r="Q57" s="276"/>
      <c r="R57" s="276"/>
      <c r="S57" s="276"/>
      <c r="T57" s="276"/>
      <c r="U57" s="276"/>
      <c r="V57" s="276"/>
    </row>
    <row r="58" spans="1:22" ht="12.7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row>
    <row r="59" spans="1:22" ht="12.7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row>
    <row r="60" spans="1:22" ht="12.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row>
    <row r="61" spans="1:22" ht="12.7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row>
    <row r="62" spans="1:22" ht="12.7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row>
    <row r="63" spans="1:22" ht="12.75" customHeight="1">
      <c r="A63" s="276"/>
      <c r="B63" s="276"/>
      <c r="C63" s="276"/>
      <c r="D63" s="276"/>
      <c r="E63" s="276"/>
      <c r="F63" s="276"/>
      <c r="G63" s="276"/>
      <c r="H63" s="276"/>
      <c r="I63" s="276"/>
      <c r="J63" s="276"/>
      <c r="K63" s="276"/>
      <c r="L63" s="276"/>
      <c r="M63" s="276"/>
      <c r="N63" s="276"/>
      <c r="O63" s="276"/>
      <c r="P63" s="276"/>
      <c r="Q63" s="276"/>
      <c r="R63" s="276"/>
      <c r="S63" s="276"/>
      <c r="T63" s="276"/>
      <c r="U63" s="276"/>
      <c r="V63" s="276"/>
    </row>
    <row r="64" spans="1:22" ht="12.75" customHeight="1">
      <c r="A64" s="276"/>
      <c r="B64" s="276"/>
      <c r="C64" s="276"/>
      <c r="D64" s="276"/>
      <c r="E64" s="276"/>
      <c r="F64" s="276"/>
      <c r="G64" s="276"/>
      <c r="H64" s="276"/>
      <c r="I64" s="276"/>
      <c r="J64" s="276"/>
      <c r="K64" s="276"/>
      <c r="L64" s="276"/>
      <c r="M64" s="276"/>
      <c r="N64" s="276"/>
      <c r="O64" s="276"/>
      <c r="P64" s="276"/>
      <c r="Q64" s="276"/>
      <c r="R64" s="276"/>
      <c r="S64" s="276"/>
      <c r="T64" s="276"/>
      <c r="U64" s="276"/>
      <c r="V64" s="276"/>
    </row>
    <row r="65" spans="1:22" ht="12.75" customHeight="1">
      <c r="A65" s="276"/>
      <c r="B65" s="276"/>
      <c r="C65" s="276"/>
      <c r="D65" s="276"/>
      <c r="E65" s="276"/>
      <c r="F65" s="276"/>
      <c r="G65" s="276"/>
      <c r="H65" s="276"/>
      <c r="I65" s="276"/>
      <c r="J65" s="276"/>
      <c r="K65" s="276"/>
      <c r="L65" s="276"/>
      <c r="M65" s="276"/>
      <c r="N65" s="276"/>
      <c r="O65" s="276"/>
      <c r="P65" s="276"/>
      <c r="Q65" s="276"/>
      <c r="R65" s="276"/>
      <c r="S65" s="276"/>
      <c r="T65" s="276"/>
      <c r="U65" s="276"/>
      <c r="V65" s="276"/>
    </row>
    <row r="66" spans="1:22" ht="12.75">
      <c r="A66" s="276"/>
      <c r="B66" s="276"/>
      <c r="C66" s="276"/>
      <c r="D66" s="276"/>
      <c r="E66" s="276"/>
      <c r="F66" s="276"/>
      <c r="G66" s="276"/>
      <c r="H66" s="276"/>
      <c r="I66" s="276"/>
      <c r="J66" s="276"/>
      <c r="K66" s="276"/>
      <c r="L66" s="276"/>
      <c r="M66" s="276"/>
      <c r="N66" s="276"/>
      <c r="O66" s="276"/>
      <c r="P66" s="276"/>
      <c r="Q66" s="276"/>
      <c r="R66" s="276"/>
      <c r="S66" s="276"/>
      <c r="T66" s="276"/>
      <c r="U66" s="276"/>
      <c r="V66" s="276"/>
    </row>
    <row r="67" spans="1:22" ht="12.75">
      <c r="A67" s="276"/>
      <c r="B67" s="276"/>
      <c r="C67" s="276"/>
      <c r="D67" s="276"/>
      <c r="E67" s="276"/>
      <c r="F67" s="276"/>
      <c r="G67" s="276"/>
      <c r="H67" s="276"/>
      <c r="I67" s="276"/>
      <c r="J67" s="276"/>
      <c r="K67" s="276"/>
      <c r="L67" s="276"/>
      <c r="M67" s="276"/>
      <c r="N67" s="276"/>
      <c r="O67" s="276"/>
      <c r="P67" s="276"/>
      <c r="Q67" s="276"/>
      <c r="R67" s="276"/>
      <c r="S67" s="276"/>
      <c r="T67" s="276"/>
      <c r="U67" s="276"/>
      <c r="V67" s="276"/>
    </row>
    <row r="68" spans="1:22" ht="12.75">
      <c r="A68" s="276"/>
      <c r="B68" s="276"/>
      <c r="C68" s="276"/>
      <c r="D68" s="276"/>
      <c r="E68" s="276"/>
      <c r="F68" s="276"/>
      <c r="G68" s="276"/>
      <c r="H68" s="276"/>
      <c r="I68" s="276"/>
      <c r="J68" s="276"/>
      <c r="K68" s="276"/>
      <c r="L68" s="276"/>
      <c r="M68" s="276"/>
      <c r="N68" s="276"/>
      <c r="O68" s="276"/>
      <c r="P68" s="276"/>
      <c r="Q68" s="276"/>
      <c r="R68" s="276"/>
      <c r="S68" s="276"/>
      <c r="T68" s="276"/>
      <c r="U68" s="276"/>
      <c r="V68" s="276"/>
    </row>
    <row r="69" spans="1:22" ht="12.75">
      <c r="A69" s="276"/>
      <c r="B69" s="276"/>
      <c r="C69" s="276"/>
      <c r="D69" s="276"/>
      <c r="E69" s="276"/>
      <c r="F69" s="276"/>
      <c r="G69" s="276"/>
      <c r="H69" s="276"/>
      <c r="I69" s="276"/>
      <c r="J69" s="276"/>
      <c r="K69" s="276"/>
      <c r="L69" s="276"/>
      <c r="M69" s="276"/>
      <c r="N69" s="276"/>
      <c r="O69" s="276"/>
      <c r="P69" s="276"/>
      <c r="Q69" s="276"/>
      <c r="R69" s="276"/>
      <c r="S69" s="276"/>
      <c r="T69" s="276"/>
      <c r="U69" s="276"/>
      <c r="V69" s="276"/>
    </row>
    <row r="70" spans="1:22" ht="12.75">
      <c r="A70" s="276"/>
      <c r="B70" s="276"/>
      <c r="C70" s="276"/>
      <c r="D70" s="276"/>
      <c r="E70" s="276"/>
      <c r="F70" s="276"/>
      <c r="G70" s="276"/>
      <c r="H70" s="276"/>
      <c r="I70" s="276"/>
      <c r="J70" s="276"/>
      <c r="K70" s="276"/>
      <c r="L70" s="276"/>
      <c r="M70" s="276"/>
      <c r="N70" s="276"/>
      <c r="O70" s="276"/>
      <c r="P70" s="276"/>
      <c r="Q70" s="276"/>
      <c r="R70" s="276"/>
      <c r="S70" s="276"/>
      <c r="T70" s="276"/>
      <c r="U70" s="276"/>
      <c r="V70" s="276"/>
    </row>
    <row r="71" spans="1:22" ht="12.75">
      <c r="A71" s="276"/>
      <c r="B71" s="276"/>
      <c r="C71" s="276"/>
      <c r="D71" s="276"/>
      <c r="E71" s="276"/>
      <c r="F71" s="276"/>
      <c r="G71" s="276"/>
      <c r="H71" s="276"/>
      <c r="I71" s="276"/>
      <c r="J71" s="276"/>
      <c r="K71" s="276"/>
      <c r="L71" s="276"/>
      <c r="M71" s="276"/>
      <c r="N71" s="276"/>
      <c r="O71" s="276"/>
      <c r="P71" s="276"/>
      <c r="Q71" s="276"/>
      <c r="R71" s="276"/>
      <c r="S71" s="276"/>
      <c r="T71" s="276"/>
      <c r="U71" s="276"/>
      <c r="V71" s="276"/>
    </row>
    <row r="72" spans="1:22" ht="12.75">
      <c r="A72" s="276"/>
      <c r="B72" s="276"/>
      <c r="C72" s="276"/>
      <c r="D72" s="276"/>
      <c r="E72" s="276"/>
      <c r="F72" s="276"/>
      <c r="G72" s="276"/>
      <c r="H72" s="276"/>
      <c r="I72" s="276"/>
      <c r="J72" s="276"/>
      <c r="K72" s="276"/>
      <c r="L72" s="276"/>
      <c r="M72" s="276"/>
      <c r="N72" s="276"/>
      <c r="O72" s="276"/>
      <c r="P72" s="276"/>
      <c r="Q72" s="276"/>
      <c r="R72" s="276"/>
      <c r="S72" s="276"/>
      <c r="T72" s="276"/>
      <c r="U72" s="276"/>
      <c r="V72" s="276"/>
    </row>
    <row r="73" spans="1:22" ht="12.75">
      <c r="A73" s="276"/>
      <c r="B73" s="276"/>
      <c r="C73" s="276"/>
      <c r="D73" s="276"/>
      <c r="E73" s="276"/>
      <c r="F73" s="276"/>
      <c r="G73" s="276"/>
      <c r="H73" s="276"/>
      <c r="I73" s="276"/>
      <c r="J73" s="276"/>
      <c r="K73" s="276"/>
      <c r="L73" s="276"/>
      <c r="M73" s="276"/>
      <c r="N73" s="276"/>
      <c r="O73" s="276"/>
      <c r="P73" s="276"/>
      <c r="Q73" s="276"/>
      <c r="R73" s="276"/>
      <c r="S73" s="276"/>
      <c r="T73" s="276"/>
      <c r="U73" s="276"/>
      <c r="V73" s="276"/>
    </row>
    <row r="74" spans="1:22" ht="12.75">
      <c r="A74" s="276"/>
      <c r="B74" s="276"/>
      <c r="C74" s="276"/>
      <c r="D74" s="276"/>
      <c r="E74" s="276"/>
      <c r="F74" s="276"/>
      <c r="G74" s="276"/>
      <c r="H74" s="276"/>
      <c r="I74" s="276"/>
      <c r="J74" s="276"/>
      <c r="K74" s="276"/>
      <c r="L74" s="276"/>
      <c r="M74" s="276"/>
      <c r="N74" s="276"/>
      <c r="O74" s="276"/>
      <c r="P74" s="276"/>
      <c r="Q74" s="276"/>
      <c r="R74" s="276"/>
      <c r="S74" s="276"/>
      <c r="T74" s="276"/>
      <c r="U74" s="276"/>
      <c r="V74" s="276"/>
    </row>
    <row r="75" spans="1:22" ht="12.75">
      <c r="A75" s="276"/>
      <c r="B75" s="276"/>
      <c r="C75" s="276"/>
      <c r="D75" s="276"/>
      <c r="E75" s="276"/>
      <c r="F75" s="276"/>
      <c r="G75" s="276"/>
      <c r="H75" s="276"/>
      <c r="I75" s="276"/>
      <c r="J75" s="276"/>
      <c r="K75" s="276"/>
      <c r="L75" s="276"/>
      <c r="M75" s="276"/>
      <c r="N75" s="276"/>
      <c r="O75" s="276"/>
      <c r="P75" s="276"/>
      <c r="Q75" s="276"/>
      <c r="R75" s="276"/>
      <c r="S75" s="276"/>
      <c r="T75" s="276"/>
      <c r="U75" s="276"/>
      <c r="V75" s="276"/>
    </row>
    <row r="76" spans="1:22" ht="12.75">
      <c r="A76" s="276"/>
      <c r="B76" s="276"/>
      <c r="C76" s="276"/>
      <c r="D76" s="276"/>
      <c r="E76" s="276"/>
      <c r="F76" s="276"/>
      <c r="G76" s="276"/>
      <c r="H76" s="276"/>
      <c r="I76" s="276"/>
      <c r="J76" s="276"/>
      <c r="K76" s="276"/>
      <c r="L76" s="276"/>
      <c r="M76" s="276"/>
      <c r="N76" s="276"/>
      <c r="O76" s="276"/>
      <c r="P76" s="276"/>
      <c r="Q76" s="276"/>
      <c r="R76" s="276"/>
      <c r="S76" s="276"/>
      <c r="T76" s="276"/>
      <c r="U76" s="276"/>
      <c r="V76" s="276"/>
    </row>
    <row r="77" spans="1:22" ht="12.75">
      <c r="A77" s="276"/>
      <c r="B77" s="276"/>
      <c r="C77" s="276"/>
      <c r="D77" s="276"/>
      <c r="E77" s="276"/>
      <c r="F77" s="276"/>
      <c r="G77" s="276"/>
      <c r="H77" s="276"/>
      <c r="I77" s="276"/>
      <c r="J77" s="276"/>
      <c r="K77" s="276"/>
      <c r="L77" s="276"/>
      <c r="M77" s="276"/>
      <c r="N77" s="276"/>
      <c r="O77" s="276"/>
      <c r="P77" s="276"/>
      <c r="Q77" s="276"/>
      <c r="R77" s="276"/>
      <c r="S77" s="276"/>
      <c r="T77" s="276"/>
      <c r="U77" s="276"/>
      <c r="V77" s="276"/>
    </row>
    <row r="78" spans="1:22" ht="12.75">
      <c r="A78" s="276"/>
      <c r="B78" s="276"/>
      <c r="C78" s="276"/>
      <c r="D78" s="276"/>
      <c r="E78" s="276"/>
      <c r="F78" s="276"/>
      <c r="G78" s="276"/>
      <c r="H78" s="276"/>
      <c r="I78" s="276"/>
      <c r="J78" s="276"/>
      <c r="K78" s="276"/>
      <c r="L78" s="276"/>
      <c r="M78" s="276"/>
      <c r="N78" s="276"/>
      <c r="O78" s="276"/>
      <c r="P78" s="276"/>
      <c r="Q78" s="276"/>
      <c r="R78" s="276"/>
      <c r="S78" s="276"/>
      <c r="T78" s="276"/>
      <c r="U78" s="276"/>
      <c r="V78" s="276"/>
    </row>
    <row r="79" spans="1:22" ht="12.75">
      <c r="A79" s="276"/>
      <c r="B79" s="276"/>
      <c r="C79" s="276"/>
      <c r="D79" s="276"/>
      <c r="E79" s="276"/>
      <c r="F79" s="276"/>
      <c r="G79" s="276"/>
      <c r="H79" s="276"/>
      <c r="I79" s="276"/>
      <c r="J79" s="276"/>
      <c r="K79" s="276"/>
      <c r="L79" s="276"/>
      <c r="M79" s="276"/>
      <c r="N79" s="276"/>
      <c r="O79" s="276"/>
      <c r="P79" s="276"/>
      <c r="Q79" s="276"/>
      <c r="R79" s="276"/>
      <c r="S79" s="276"/>
      <c r="T79" s="276"/>
      <c r="U79" s="276"/>
      <c r="V79" s="276"/>
    </row>
    <row r="80" spans="1:22" ht="12.75">
      <c r="A80" s="276"/>
      <c r="B80" s="276"/>
      <c r="C80" s="276"/>
      <c r="D80" s="276"/>
      <c r="E80" s="276"/>
      <c r="F80" s="276"/>
      <c r="G80" s="276"/>
      <c r="H80" s="276"/>
      <c r="I80" s="276"/>
      <c r="J80" s="276"/>
      <c r="K80" s="276"/>
      <c r="L80" s="276"/>
      <c r="M80" s="276"/>
      <c r="N80" s="276"/>
      <c r="O80" s="276"/>
      <c r="P80" s="276"/>
      <c r="Q80" s="276"/>
      <c r="R80" s="276"/>
      <c r="S80" s="276"/>
      <c r="T80" s="276"/>
      <c r="U80" s="276"/>
      <c r="V80" s="276"/>
    </row>
    <row r="81" spans="1:22" ht="12.75">
      <c r="A81" s="276"/>
      <c r="B81" s="276"/>
      <c r="C81" s="276"/>
      <c r="D81" s="276"/>
      <c r="E81" s="276"/>
      <c r="F81" s="276"/>
      <c r="G81" s="276"/>
      <c r="H81" s="276"/>
      <c r="I81" s="276"/>
      <c r="J81" s="276"/>
      <c r="K81" s="276"/>
      <c r="L81" s="276"/>
      <c r="M81" s="276"/>
      <c r="N81" s="276"/>
      <c r="O81" s="276"/>
      <c r="P81" s="276"/>
      <c r="Q81" s="276"/>
      <c r="R81" s="276"/>
      <c r="S81" s="276"/>
      <c r="T81" s="276"/>
      <c r="U81" s="276"/>
      <c r="V81" s="276"/>
    </row>
    <row r="82" spans="1:22" ht="12.75">
      <c r="A82" s="276"/>
      <c r="B82" s="276"/>
      <c r="C82" s="276"/>
      <c r="D82" s="276"/>
      <c r="E82" s="276"/>
      <c r="F82" s="276"/>
      <c r="G82" s="276"/>
      <c r="H82" s="276"/>
      <c r="I82" s="276"/>
      <c r="J82" s="276"/>
      <c r="K82" s="276"/>
      <c r="L82" s="276"/>
      <c r="M82" s="276"/>
      <c r="N82" s="276"/>
      <c r="O82" s="276"/>
      <c r="P82" s="276"/>
      <c r="Q82" s="276"/>
      <c r="R82" s="276"/>
      <c r="S82" s="276"/>
      <c r="T82" s="276"/>
      <c r="U82" s="276"/>
      <c r="V82" s="276"/>
    </row>
    <row r="83" spans="1:22" ht="12.75">
      <c r="A83" s="276"/>
      <c r="B83" s="276"/>
      <c r="C83" s="276"/>
      <c r="D83" s="276"/>
      <c r="E83" s="276"/>
      <c r="F83" s="276"/>
      <c r="G83" s="276"/>
      <c r="H83" s="276"/>
      <c r="I83" s="276"/>
      <c r="J83" s="276"/>
      <c r="K83" s="276"/>
      <c r="L83" s="276"/>
      <c r="M83" s="276"/>
      <c r="N83" s="276"/>
      <c r="O83" s="276"/>
      <c r="P83" s="276"/>
      <c r="Q83" s="276"/>
      <c r="R83" s="276"/>
      <c r="S83" s="276"/>
      <c r="T83" s="276"/>
      <c r="U83" s="276"/>
      <c r="V83" s="276"/>
    </row>
    <row r="84" spans="1:22" ht="12.75">
      <c r="A84" s="276"/>
      <c r="B84" s="276"/>
      <c r="C84" s="276"/>
      <c r="D84" s="276"/>
      <c r="E84" s="276"/>
      <c r="F84" s="276"/>
      <c r="G84" s="276"/>
      <c r="H84" s="276"/>
      <c r="I84" s="276"/>
      <c r="J84" s="276"/>
      <c r="K84" s="276"/>
      <c r="L84" s="276"/>
      <c r="M84" s="276"/>
      <c r="N84" s="276"/>
      <c r="O84" s="276"/>
      <c r="P84" s="276"/>
      <c r="Q84" s="276"/>
      <c r="R84" s="276"/>
      <c r="S84" s="276"/>
      <c r="T84" s="276"/>
      <c r="U84" s="276"/>
      <c r="V84" s="276"/>
    </row>
    <row r="85" spans="1:22" ht="12.75">
      <c r="A85" s="276"/>
      <c r="B85" s="276"/>
      <c r="C85" s="276"/>
      <c r="D85" s="276"/>
      <c r="E85" s="276"/>
      <c r="F85" s="276"/>
      <c r="G85" s="276"/>
      <c r="H85" s="276"/>
      <c r="I85" s="276"/>
      <c r="J85" s="276"/>
      <c r="K85" s="276"/>
      <c r="L85" s="276"/>
      <c r="M85" s="276"/>
      <c r="N85" s="276"/>
      <c r="O85" s="276"/>
      <c r="P85" s="276"/>
      <c r="Q85" s="276"/>
      <c r="R85" s="276"/>
      <c r="S85" s="276"/>
      <c r="T85" s="276"/>
      <c r="U85" s="276"/>
      <c r="V85" s="276"/>
    </row>
    <row r="86" spans="1:22" ht="12.75" customHeight="1">
      <c r="A86" s="276"/>
      <c r="B86" s="276"/>
      <c r="C86" s="276"/>
      <c r="D86" s="276"/>
      <c r="E86" s="276"/>
      <c r="F86" s="276"/>
      <c r="G86" s="276"/>
      <c r="H86" s="276"/>
      <c r="I86" s="276"/>
      <c r="J86" s="276"/>
      <c r="K86" s="276"/>
      <c r="L86" s="276"/>
      <c r="M86" s="276"/>
      <c r="N86" s="276"/>
      <c r="O86" s="276"/>
      <c r="P86" s="276"/>
      <c r="Q86" s="276"/>
      <c r="R86" s="276"/>
      <c r="S86" s="276"/>
      <c r="T86" s="276"/>
      <c r="U86" s="276"/>
      <c r="V86" s="276"/>
    </row>
    <row r="87" spans="1:22" ht="12.75" customHeight="1">
      <c r="A87" s="276"/>
      <c r="B87" s="276"/>
      <c r="C87" s="276"/>
      <c r="D87" s="276"/>
      <c r="E87" s="276"/>
      <c r="F87" s="276"/>
      <c r="G87" s="276"/>
      <c r="H87" s="276"/>
      <c r="I87" s="276"/>
      <c r="J87" s="276"/>
      <c r="K87" s="276"/>
      <c r="L87" s="276"/>
      <c r="M87" s="276"/>
      <c r="N87" s="276"/>
      <c r="O87" s="276"/>
      <c r="P87" s="276"/>
      <c r="Q87" s="276"/>
      <c r="R87" s="276"/>
      <c r="S87" s="276"/>
      <c r="T87" s="276"/>
      <c r="U87" s="276"/>
      <c r="V87" s="276"/>
    </row>
    <row r="88" spans="1:22" ht="12.75" customHeight="1">
      <c r="A88" s="276"/>
      <c r="B88" s="276"/>
      <c r="C88" s="276"/>
      <c r="D88" s="276"/>
      <c r="E88" s="276"/>
      <c r="F88" s="276"/>
      <c r="G88" s="276"/>
      <c r="H88" s="276"/>
      <c r="I88" s="276"/>
      <c r="J88" s="276"/>
      <c r="K88" s="276"/>
      <c r="L88" s="276"/>
      <c r="M88" s="276"/>
      <c r="N88" s="276"/>
      <c r="O88" s="276"/>
      <c r="P88" s="276"/>
      <c r="Q88" s="276"/>
      <c r="R88" s="276"/>
      <c r="S88" s="276"/>
      <c r="T88" s="276"/>
      <c r="U88" s="276"/>
      <c r="V88" s="276"/>
    </row>
    <row r="89" spans="1:22" ht="12.75">
      <c r="A89" s="276"/>
      <c r="B89" s="276"/>
      <c r="C89" s="276"/>
      <c r="D89" s="276"/>
      <c r="E89" s="276"/>
      <c r="F89" s="276"/>
      <c r="G89" s="276"/>
      <c r="H89" s="276"/>
      <c r="I89" s="276"/>
      <c r="J89" s="276"/>
      <c r="K89" s="276"/>
      <c r="L89" s="276"/>
      <c r="M89" s="276"/>
      <c r="N89" s="276"/>
      <c r="O89" s="276"/>
      <c r="P89" s="276"/>
      <c r="Q89" s="276"/>
      <c r="R89" s="276"/>
      <c r="S89" s="276"/>
      <c r="T89" s="276"/>
      <c r="U89" s="276"/>
      <c r="V89" s="276"/>
    </row>
    <row r="90" spans="1:22" ht="12.75">
      <c r="A90" s="276"/>
      <c r="B90" s="276"/>
      <c r="C90" s="276"/>
      <c r="D90" s="276"/>
      <c r="E90" s="276"/>
      <c r="F90" s="276"/>
      <c r="G90" s="276"/>
      <c r="H90" s="276"/>
      <c r="I90" s="276"/>
      <c r="J90" s="276"/>
      <c r="K90" s="276"/>
      <c r="L90" s="276"/>
      <c r="M90" s="276"/>
      <c r="N90" s="276"/>
      <c r="O90" s="276"/>
      <c r="P90" s="276"/>
      <c r="Q90" s="276"/>
      <c r="R90" s="276"/>
      <c r="S90" s="276"/>
      <c r="T90" s="276"/>
      <c r="U90" s="276"/>
      <c r="V90" s="276"/>
    </row>
    <row r="91" spans="1:22" ht="12.75">
      <c r="A91" s="276"/>
      <c r="B91" s="276"/>
      <c r="C91" s="276"/>
      <c r="D91" s="276"/>
      <c r="E91" s="276"/>
      <c r="F91" s="276"/>
      <c r="G91" s="276"/>
      <c r="H91" s="276"/>
      <c r="I91" s="276"/>
      <c r="J91" s="276"/>
      <c r="K91" s="276"/>
      <c r="L91" s="276"/>
      <c r="M91" s="276"/>
      <c r="N91" s="276"/>
      <c r="O91" s="276"/>
      <c r="P91" s="276"/>
      <c r="Q91" s="276"/>
      <c r="R91" s="276"/>
      <c r="S91" s="276"/>
      <c r="T91" s="276"/>
      <c r="U91" s="276"/>
      <c r="V91" s="276"/>
    </row>
    <row r="92" spans="1:22" ht="12.75">
      <c r="A92" s="276"/>
      <c r="B92" s="276"/>
      <c r="C92" s="276"/>
      <c r="D92" s="276"/>
      <c r="E92" s="276"/>
      <c r="F92" s="276"/>
      <c r="G92" s="276"/>
      <c r="H92" s="276"/>
      <c r="I92" s="276"/>
      <c r="J92" s="276"/>
      <c r="K92" s="276"/>
      <c r="L92" s="276"/>
      <c r="M92" s="276"/>
      <c r="N92" s="276"/>
      <c r="O92" s="276"/>
      <c r="P92" s="276"/>
      <c r="Q92" s="276"/>
      <c r="R92" s="276"/>
      <c r="S92" s="276"/>
      <c r="T92" s="276"/>
      <c r="U92" s="276"/>
      <c r="V92" s="276"/>
    </row>
    <row r="93" spans="1:22" ht="12.75">
      <c r="A93" s="276"/>
      <c r="B93" s="276"/>
      <c r="C93" s="276"/>
      <c r="D93" s="276"/>
      <c r="E93" s="276"/>
      <c r="F93" s="276"/>
      <c r="G93" s="276"/>
      <c r="H93" s="276"/>
      <c r="I93" s="276"/>
      <c r="J93" s="276"/>
      <c r="K93" s="276"/>
      <c r="L93" s="276"/>
      <c r="M93" s="276"/>
      <c r="N93" s="276"/>
      <c r="O93" s="276"/>
      <c r="P93" s="276"/>
      <c r="Q93" s="276"/>
      <c r="R93" s="276"/>
      <c r="S93" s="276"/>
      <c r="T93" s="276"/>
      <c r="U93" s="276"/>
      <c r="V93" s="276"/>
    </row>
    <row r="94" spans="1:22" ht="12.75">
      <c r="A94" s="276"/>
      <c r="B94" s="276"/>
      <c r="C94" s="276"/>
      <c r="D94" s="276"/>
      <c r="E94" s="276"/>
      <c r="F94" s="276"/>
      <c r="G94" s="276"/>
      <c r="H94" s="276"/>
      <c r="I94" s="276"/>
      <c r="J94" s="276"/>
      <c r="K94" s="276"/>
      <c r="L94" s="276"/>
      <c r="M94" s="276"/>
      <c r="N94" s="276"/>
      <c r="O94" s="276"/>
      <c r="P94" s="276"/>
      <c r="Q94" s="276"/>
      <c r="R94" s="276"/>
      <c r="S94" s="276"/>
      <c r="T94" s="276"/>
      <c r="U94" s="276"/>
      <c r="V94" s="276"/>
    </row>
    <row r="95" spans="1:22" ht="12.75">
      <c r="A95" s="276"/>
      <c r="B95" s="276"/>
      <c r="C95" s="276"/>
      <c r="D95" s="276"/>
      <c r="E95" s="276"/>
      <c r="F95" s="276"/>
      <c r="G95" s="276"/>
      <c r="H95" s="276"/>
      <c r="I95" s="276"/>
      <c r="J95" s="276"/>
      <c r="K95" s="276"/>
      <c r="L95" s="276"/>
      <c r="M95" s="276"/>
      <c r="N95" s="276"/>
      <c r="O95" s="276"/>
      <c r="P95" s="276"/>
      <c r="Q95" s="276"/>
      <c r="R95" s="276"/>
      <c r="S95" s="276"/>
      <c r="T95" s="276"/>
      <c r="U95" s="276"/>
      <c r="V95" s="276"/>
    </row>
    <row r="96" spans="1:22" ht="12.75">
      <c r="A96" s="276"/>
      <c r="B96" s="276"/>
      <c r="C96" s="276"/>
      <c r="D96" s="276"/>
      <c r="E96" s="276"/>
      <c r="F96" s="276"/>
      <c r="G96" s="276"/>
      <c r="H96" s="276"/>
      <c r="I96" s="276"/>
      <c r="J96" s="276"/>
      <c r="K96" s="276"/>
      <c r="L96" s="276"/>
      <c r="M96" s="276"/>
      <c r="N96" s="276"/>
      <c r="O96" s="276"/>
      <c r="P96" s="276"/>
      <c r="Q96" s="276"/>
      <c r="R96" s="276"/>
      <c r="S96" s="276"/>
      <c r="T96" s="276"/>
      <c r="U96" s="276"/>
      <c r="V96" s="276"/>
    </row>
    <row r="97" spans="1:22" ht="12.75">
      <c r="A97" s="276"/>
      <c r="B97" s="276"/>
      <c r="C97" s="276"/>
      <c r="D97" s="276"/>
      <c r="E97" s="276"/>
      <c r="F97" s="276"/>
      <c r="G97" s="276"/>
      <c r="H97" s="276"/>
      <c r="I97" s="276"/>
      <c r="J97" s="276"/>
      <c r="K97" s="276"/>
      <c r="L97" s="276"/>
      <c r="M97" s="276"/>
      <c r="N97" s="276"/>
      <c r="O97" s="276"/>
      <c r="P97" s="276"/>
      <c r="Q97" s="276"/>
      <c r="R97" s="276"/>
      <c r="S97" s="276"/>
      <c r="T97" s="276"/>
      <c r="U97" s="276"/>
      <c r="V97" s="276"/>
    </row>
    <row r="98" spans="1:22" ht="12.75">
      <c r="A98" s="276"/>
      <c r="B98" s="276"/>
      <c r="C98" s="276"/>
      <c r="D98" s="276"/>
      <c r="E98" s="276"/>
      <c r="F98" s="276"/>
      <c r="G98" s="276"/>
      <c r="H98" s="276"/>
      <c r="I98" s="276"/>
      <c r="J98" s="276"/>
      <c r="K98" s="276"/>
      <c r="L98" s="276"/>
      <c r="M98" s="276"/>
      <c r="N98" s="276"/>
      <c r="O98" s="276"/>
      <c r="P98" s="276"/>
      <c r="Q98" s="276"/>
      <c r="R98" s="276"/>
      <c r="S98" s="276"/>
      <c r="T98" s="276"/>
      <c r="U98" s="276"/>
      <c r="V98" s="276"/>
    </row>
    <row r="99" spans="1:22" ht="12.75">
      <c r="A99" s="276"/>
      <c r="B99" s="276"/>
      <c r="C99" s="276"/>
      <c r="D99" s="276"/>
      <c r="E99" s="276"/>
      <c r="F99" s="276"/>
      <c r="G99" s="276"/>
      <c r="H99" s="276"/>
      <c r="I99" s="276"/>
      <c r="J99" s="276"/>
      <c r="K99" s="276"/>
      <c r="L99" s="276"/>
      <c r="M99" s="276"/>
      <c r="N99" s="276"/>
      <c r="O99" s="276"/>
      <c r="P99" s="276"/>
      <c r="Q99" s="276"/>
      <c r="R99" s="276"/>
      <c r="S99" s="276"/>
      <c r="T99" s="276"/>
      <c r="U99" s="276"/>
      <c r="V99" s="276"/>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30"/>
  <sheetViews>
    <sheetView zoomScale="81" zoomScaleNormal="81" zoomScaleSheetLayoutView="100" zoomScalePageLayoutView="81" workbookViewId="0">
      <selection activeCell="I13" sqref="I13"/>
    </sheetView>
  </sheetViews>
  <sheetFormatPr defaultColWidth="9.28515625" defaultRowHeight="12.75"/>
  <cols>
    <col min="1" max="1" width="3.5703125" style="323" customWidth="1"/>
    <col min="2" max="2" width="7.28515625" style="323" customWidth="1"/>
    <col min="3" max="3" width="2.42578125" style="323" customWidth="1"/>
    <col min="4" max="4" width="29.42578125" style="323" customWidth="1"/>
    <col min="5" max="5" width="26.42578125" style="323" customWidth="1"/>
    <col min="6" max="6" width="24.28515625" style="323" bestFit="1" customWidth="1"/>
    <col min="7" max="7" width="22.7109375" style="323" customWidth="1"/>
    <col min="8" max="8" width="7.42578125" style="323" customWidth="1"/>
    <col min="9" max="16384" width="9.28515625" style="323"/>
  </cols>
  <sheetData>
    <row r="1" spans="1:11" ht="15">
      <c r="A1" s="547"/>
    </row>
    <row r="2" spans="1:11" ht="19.5" customHeight="1">
      <c r="A2" s="2192" t="str">
        <f>+'SWT TCOS'!F4</f>
        <v xml:space="preserve">AEP West SPP Member Transmission Companies </v>
      </c>
      <c r="B2" s="2192"/>
      <c r="C2" s="2192"/>
      <c r="D2" s="2192"/>
      <c r="E2" s="2192"/>
      <c r="F2" s="2192"/>
      <c r="G2" s="2192"/>
      <c r="H2" s="2192"/>
      <c r="I2" s="275"/>
      <c r="J2" s="275"/>
      <c r="K2" s="275"/>
    </row>
    <row r="3" spans="1:11" ht="15">
      <c r="A3" s="2302" t="str">
        <f>+'SWT WS A-1 - Plant'!A3</f>
        <v xml:space="preserve">Actual / Projected 2022 Rate Year Cost of Service Formula Rate </v>
      </c>
      <c r="B3" s="2302"/>
      <c r="C3" s="2302"/>
      <c r="D3" s="2302"/>
      <c r="E3" s="2302"/>
      <c r="F3" s="2302"/>
      <c r="G3" s="2302"/>
      <c r="H3" s="2302"/>
      <c r="I3" s="1412"/>
      <c r="J3" s="1412"/>
      <c r="K3" s="1412"/>
    </row>
    <row r="4" spans="1:11" ht="15.75">
      <c r="A4" s="2303" t="s">
        <v>112</v>
      </c>
      <c r="B4" s="2302"/>
      <c r="C4" s="2302"/>
      <c r="D4" s="2302"/>
      <c r="E4" s="2302"/>
      <c r="F4" s="2302"/>
      <c r="G4" s="2302"/>
      <c r="H4" s="2302"/>
      <c r="I4" s="1412"/>
      <c r="J4" s="1412"/>
      <c r="K4" s="1412"/>
    </row>
    <row r="5" spans="1:11" ht="15.75">
      <c r="A5" s="2243" t="str">
        <f>+'SWT TCOS'!F8</f>
        <v>AEP SOUTHWESTERN TRANSMISSION COMPANY</v>
      </c>
      <c r="B5" s="2243"/>
      <c r="C5" s="2243"/>
      <c r="D5" s="2243"/>
      <c r="E5" s="2243"/>
      <c r="F5" s="2243"/>
      <c r="G5" s="2243"/>
      <c r="H5" s="2243"/>
      <c r="I5" s="1072"/>
      <c r="J5" s="1072"/>
      <c r="K5" s="1072"/>
    </row>
    <row r="6" spans="1:11" ht="15">
      <c r="D6" s="276"/>
      <c r="G6" s="1073"/>
      <c r="H6" s="275"/>
      <c r="I6" s="275"/>
    </row>
    <row r="7" spans="1:11" ht="54" customHeight="1">
      <c r="A7" s="1074"/>
      <c r="B7" s="2317" t="s">
        <v>641</v>
      </c>
      <c r="C7" s="2317"/>
      <c r="D7" s="2317"/>
      <c r="E7" s="2317"/>
      <c r="F7" s="2317"/>
      <c r="G7" s="2317"/>
      <c r="H7" s="1074"/>
      <c r="I7" s="275"/>
    </row>
    <row r="8" spans="1:11" ht="18">
      <c r="A8" s="923"/>
      <c r="B8" s="923"/>
      <c r="C8" s="923"/>
      <c r="D8" s="923"/>
      <c r="E8" s="923"/>
      <c r="F8" s="923"/>
      <c r="G8" s="923"/>
      <c r="H8" s="923"/>
      <c r="I8" s="275"/>
    </row>
    <row r="9" spans="1:11" ht="18">
      <c r="A9" s="923"/>
      <c r="B9" s="923"/>
      <c r="C9" s="923"/>
      <c r="D9" s="923"/>
      <c r="E9" s="923"/>
      <c r="F9" s="923"/>
      <c r="G9" s="923"/>
      <c r="H9" s="923"/>
      <c r="I9" s="275"/>
    </row>
    <row r="10" spans="1:11" ht="18">
      <c r="A10" s="923"/>
      <c r="B10" s="712" t="s">
        <v>305</v>
      </c>
      <c r="D10" s="2260" t="s">
        <v>298</v>
      </c>
      <c r="E10" s="2260"/>
      <c r="G10" s="553" t="s">
        <v>299</v>
      </c>
      <c r="H10" s="923"/>
      <c r="I10" s="275"/>
    </row>
    <row r="11" spans="1:11" ht="18">
      <c r="A11" s="923"/>
      <c r="B11" s="712" t="s">
        <v>243</v>
      </c>
      <c r="D11" s="2259" t="s">
        <v>303</v>
      </c>
      <c r="E11" s="2259"/>
      <c r="G11" s="712">
        <f>+'SWT TCOS'!N2</f>
        <v>2022</v>
      </c>
      <c r="H11" s="923"/>
      <c r="I11" s="275"/>
    </row>
    <row r="12" spans="1:11" ht="15">
      <c r="B12" s="1356">
        <v>1</v>
      </c>
      <c r="C12" s="1076"/>
      <c r="H12" s="275"/>
      <c r="I12" s="275"/>
    </row>
    <row r="13" spans="1:11" ht="15">
      <c r="B13" s="1356">
        <f t="shared" ref="B13:B20" si="0">B12+1</f>
        <v>2</v>
      </c>
      <c r="D13" s="1470"/>
      <c r="E13" s="1077"/>
      <c r="G13" s="986"/>
      <c r="H13" s="275"/>
      <c r="I13"/>
    </row>
    <row r="14" spans="1:11" ht="15">
      <c r="B14" s="1356">
        <f t="shared" si="0"/>
        <v>3</v>
      </c>
      <c r="D14" s="1470"/>
      <c r="E14" s="1077"/>
      <c r="G14" s="986"/>
      <c r="H14" s="275"/>
      <c r="I14" s="275"/>
    </row>
    <row r="15" spans="1:11" ht="15">
      <c r="B15" s="1356">
        <f t="shared" si="0"/>
        <v>4</v>
      </c>
      <c r="D15" s="1470"/>
      <c r="E15" s="1077"/>
      <c r="G15" s="986"/>
      <c r="H15" s="275"/>
      <c r="I15" s="275"/>
    </row>
    <row r="16" spans="1:11" ht="15">
      <c r="B16" s="1356">
        <f t="shared" si="0"/>
        <v>5</v>
      </c>
      <c r="D16" s="1470"/>
      <c r="E16" s="1077"/>
      <c r="G16" s="986"/>
      <c r="H16" s="275"/>
      <c r="I16" s="275"/>
    </row>
    <row r="17" spans="2:9" ht="15">
      <c r="B17" s="1356">
        <f t="shared" si="0"/>
        <v>6</v>
      </c>
      <c r="D17" s="1470"/>
      <c r="E17" s="1077"/>
      <c r="G17" s="986"/>
      <c r="H17" s="275"/>
      <c r="I17" s="275"/>
    </row>
    <row r="18" spans="2:9" ht="15">
      <c r="B18" s="1356">
        <f t="shared" si="0"/>
        <v>7</v>
      </c>
      <c r="D18" s="1470"/>
      <c r="E18" s="1077"/>
      <c r="G18" s="986"/>
      <c r="H18" s="275"/>
      <c r="I18" s="275"/>
    </row>
    <row r="19" spans="2:9" ht="15">
      <c r="B19" s="1356">
        <f t="shared" si="0"/>
        <v>8</v>
      </c>
      <c r="D19" s="1470"/>
      <c r="E19" s="1077"/>
      <c r="G19" s="986"/>
      <c r="H19" s="275"/>
      <c r="I19" s="275"/>
    </row>
    <row r="20" spans="2:9" ht="15">
      <c r="B20" s="1356">
        <f t="shared" si="0"/>
        <v>9</v>
      </c>
      <c r="D20" s="1470"/>
      <c r="E20" s="1077"/>
      <c r="G20" s="986"/>
      <c r="H20" s="275"/>
      <c r="I20" s="275"/>
    </row>
    <row r="21" spans="2:9" ht="15">
      <c r="B21" s="1356">
        <f>+B20+1</f>
        <v>10</v>
      </c>
      <c r="D21" s="1799" t="s">
        <v>255</v>
      </c>
      <c r="F21" s="323" t="str">
        <f>"( sum of lines "&amp;B13&amp;"  through "&amp;B20&amp;" )"</f>
        <v>( sum of lines 2  through 9 )</v>
      </c>
      <c r="G21" s="1800">
        <f>SUM(G13:G20)</f>
        <v>0</v>
      </c>
      <c r="H21" s="275"/>
      <c r="I21" s="275"/>
    </row>
    <row r="22" spans="2:9" ht="15">
      <c r="B22" s="1356"/>
      <c r="G22" s="1801"/>
      <c r="H22" s="275"/>
      <c r="I22" s="275"/>
    </row>
    <row r="23" spans="2:9" s="394" customFormat="1" ht="15" customHeight="1"/>
    <row r="24" spans="2:9" s="394" customFormat="1"/>
    <row r="25" spans="2:9" s="394" customFormat="1"/>
    <row r="26" spans="2:9" s="394" customFormat="1" ht="23.25" customHeight="1"/>
    <row r="27" spans="2:9" s="394" customFormat="1"/>
    <row r="28" spans="2:9" s="394" customFormat="1"/>
    <row r="29" spans="2:9" s="394" customFormat="1"/>
    <row r="30" spans="2:9" s="394"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Q57"/>
  <sheetViews>
    <sheetView zoomScale="80" zoomScaleNormal="80" zoomScaleSheetLayoutView="75" workbookViewId="0">
      <selection activeCell="H43" sqref="H43:I46"/>
    </sheetView>
  </sheetViews>
  <sheetFormatPr defaultColWidth="9.28515625" defaultRowHeight="15"/>
  <cols>
    <col min="1" max="1" width="10.42578125" style="1084" customWidth="1"/>
    <col min="2" max="2" width="12.7109375" style="1081" customWidth="1"/>
    <col min="3" max="3" width="59.28515625" style="1082" customWidth="1"/>
    <col min="4" max="4" width="17.7109375" style="1082" customWidth="1"/>
    <col min="5" max="5" width="24.42578125" style="1082" customWidth="1"/>
    <col min="6" max="6" width="17.28515625" style="1082" customWidth="1"/>
    <col min="7" max="7" width="42" style="1082" customWidth="1"/>
    <col min="8" max="8" width="13.7109375" style="1082" customWidth="1"/>
    <col min="9" max="10" width="12.7109375" style="1082" customWidth="1"/>
    <col min="11" max="11" width="13.28515625" style="1082" customWidth="1"/>
    <col min="12" max="19" width="9.28515625" style="1082"/>
    <col min="20" max="20" width="9.28515625" style="131" bestFit="1" customWidth="1"/>
    <col min="21" max="21" width="8.7109375" style="131" customWidth="1"/>
    <col min="22" max="22" width="9.28515625" style="131" bestFit="1" customWidth="1"/>
    <col min="23" max="23" width="8.7109375" style="131" customWidth="1"/>
    <col min="24" max="24" width="10.7109375" style="131" bestFit="1" customWidth="1"/>
    <col min="25" max="25" width="8.7109375" style="131" customWidth="1"/>
    <col min="26" max="26" width="10.7109375" style="131" bestFit="1" customWidth="1"/>
    <col min="27" max="27" width="8.7109375" style="131" customWidth="1"/>
    <col min="28" max="28" width="10.7109375" style="131" bestFit="1" customWidth="1"/>
    <col min="29" max="29" width="8.7109375" style="131" customWidth="1"/>
    <col min="30" max="30" width="9.28515625" style="131" bestFit="1" customWidth="1"/>
    <col min="31" max="31" width="8.7109375" style="131" customWidth="1"/>
    <col min="32" max="32" width="11.5703125" style="131" bestFit="1" customWidth="1"/>
    <col min="33" max="33" width="8.7109375" style="131" customWidth="1"/>
    <col min="34" max="34" width="11.5703125" style="131" bestFit="1" customWidth="1"/>
    <col min="35" max="35" width="8.7109375" style="131" customWidth="1"/>
    <col min="36" max="36" width="11" style="131" bestFit="1" customWidth="1"/>
    <col min="37" max="37" width="8.7109375" style="131" customWidth="1"/>
    <col min="38" max="38" width="9.28515625" style="131" bestFit="1" customWidth="1"/>
    <col min="39" max="39" width="8.7109375" style="131" customWidth="1"/>
    <col min="40" max="40" width="11.5703125" style="131" bestFit="1" customWidth="1"/>
    <col min="41" max="43" width="8.7109375" style="131" customWidth="1"/>
    <col min="44" max="16384" width="9.28515625" style="1082"/>
  </cols>
  <sheetData>
    <row r="1" spans="1:11">
      <c r="A1" s="498"/>
    </row>
    <row r="2" spans="1:11" ht="23.25" customHeight="1">
      <c r="A2" s="2318" t="str">
        <f>+'SWT WS H Rev Credits'!A3:N3</f>
        <v xml:space="preserve">AEP West SPP Member Transmission Companies </v>
      </c>
      <c r="B2" s="2318"/>
      <c r="C2" s="2318"/>
      <c r="D2" s="2318"/>
      <c r="E2" s="2318"/>
      <c r="F2" s="2318"/>
      <c r="G2" s="2318"/>
      <c r="H2" s="650"/>
    </row>
    <row r="3" spans="1:11" ht="18.75" customHeight="1">
      <c r="A3" s="2318" t="str">
        <f>+'SWT WS A-1 - Plant'!A3</f>
        <v xml:space="preserve">Actual / Projected 2022 Rate Year Cost of Service Formula Rate </v>
      </c>
      <c r="B3" s="2318"/>
      <c r="C3" s="2318"/>
      <c r="D3" s="2318"/>
      <c r="E3" s="2318"/>
      <c r="F3" s="2318"/>
      <c r="G3" s="2318"/>
      <c r="H3" s="1513"/>
      <c r="I3" s="1513"/>
      <c r="J3" s="1513"/>
      <c r="K3" s="1513"/>
    </row>
    <row r="4" spans="1:11" ht="19.5" customHeight="1">
      <c r="A4" s="2319" t="s">
        <v>113</v>
      </c>
      <c r="B4" s="2318"/>
      <c r="C4" s="2318"/>
      <c r="D4" s="2318"/>
      <c r="E4" s="2318"/>
      <c r="F4" s="2318"/>
      <c r="G4" s="2318"/>
    </row>
    <row r="5" spans="1:11" ht="18" customHeight="1">
      <c r="A5" s="2243" t="str">
        <f>+'SWT TCOS'!F8</f>
        <v>AEP SOUTHWESTERN TRANSMISSION COMPANY</v>
      </c>
      <c r="B5" s="2243"/>
      <c r="C5" s="2243"/>
      <c r="D5" s="2243"/>
      <c r="E5" s="2243"/>
      <c r="F5" s="2243"/>
      <c r="G5" s="2243"/>
    </row>
    <row r="6" spans="1:11" ht="12.75" customHeight="1">
      <c r="A6" s="2192"/>
      <c r="B6" s="2192"/>
      <c r="C6" s="2192"/>
      <c r="D6" s="2192"/>
      <c r="E6" s="2192"/>
      <c r="F6" s="2192"/>
      <c r="G6" s="1083"/>
    </row>
    <row r="7" spans="1:11" ht="18">
      <c r="A7" s="2199"/>
      <c r="B7" s="2199"/>
      <c r="C7" s="2199"/>
      <c r="D7" s="2199"/>
      <c r="E7" s="2199"/>
      <c r="F7" s="2199"/>
      <c r="G7" s="2199"/>
    </row>
    <row r="8" spans="1:11" ht="18">
      <c r="A8" s="923"/>
      <c r="B8" s="923"/>
      <c r="C8" s="923"/>
      <c r="D8" s="923"/>
      <c r="E8" s="923"/>
      <c r="F8" s="923"/>
      <c r="G8" s="923"/>
    </row>
    <row r="9" spans="1:11" ht="15.75">
      <c r="B9" s="534" t="s">
        <v>298</v>
      </c>
      <c r="C9" s="534" t="s">
        <v>299</v>
      </c>
      <c r="D9" s="534" t="s">
        <v>300</v>
      </c>
      <c r="E9" s="534" t="s">
        <v>301</v>
      </c>
      <c r="F9" s="534" t="s">
        <v>226</v>
      </c>
      <c r="G9" s="534" t="s">
        <v>227</v>
      </c>
    </row>
    <row r="10" spans="1:11" ht="15.75">
      <c r="B10" s="1085"/>
      <c r="C10" s="1083"/>
      <c r="D10" s="1086"/>
      <c r="E10" s="1087"/>
      <c r="F10" s="1088" t="s">
        <v>229</v>
      </c>
      <c r="G10" s="534"/>
    </row>
    <row r="11" spans="1:11" ht="15.75">
      <c r="A11" s="513" t="s">
        <v>305</v>
      </c>
      <c r="B11" s="513" t="s">
        <v>147</v>
      </c>
      <c r="C11" s="1089"/>
      <c r="D11" s="513">
        <f>+'SWT TCOS'!N2</f>
        <v>2022</v>
      </c>
      <c r="E11" s="1088" t="s">
        <v>229</v>
      </c>
      <c r="F11" s="513" t="s">
        <v>252</v>
      </c>
      <c r="G11" s="534" t="s">
        <v>420</v>
      </c>
    </row>
    <row r="12" spans="1:11" ht="15.75">
      <c r="A12" s="513" t="s">
        <v>243</v>
      </c>
      <c r="B12" s="513" t="s">
        <v>148</v>
      </c>
      <c r="C12" s="513" t="s">
        <v>303</v>
      </c>
      <c r="D12" s="513" t="s">
        <v>212</v>
      </c>
      <c r="E12" s="513" t="s">
        <v>231</v>
      </c>
      <c r="F12" s="513" t="s">
        <v>213</v>
      </c>
      <c r="G12" s="1090" t="s">
        <v>421</v>
      </c>
    </row>
    <row r="13" spans="1:11" ht="15.75">
      <c r="B13" s="513"/>
      <c r="C13" s="513"/>
      <c r="D13" s="513"/>
      <c r="E13" s="513"/>
      <c r="F13" s="513"/>
      <c r="G13" s="513"/>
    </row>
    <row r="14" spans="1:11" ht="15.75">
      <c r="B14" s="1084"/>
      <c r="C14" s="1091" t="s">
        <v>348</v>
      </c>
      <c r="D14" s="1083"/>
      <c r="E14" s="1083"/>
      <c r="F14" s="1083"/>
      <c r="G14" s="1083"/>
    </row>
    <row r="15" spans="1:11" ht="15.75">
      <c r="A15" s="1092">
        <v>1</v>
      </c>
      <c r="B15" s="1802" t="s">
        <v>957</v>
      </c>
      <c r="C15" s="1802" t="s">
        <v>953</v>
      </c>
      <c r="D15" s="1095">
        <v>0.01</v>
      </c>
      <c r="E15" s="1095"/>
      <c r="F15" s="1095">
        <f>+D15</f>
        <v>0.01</v>
      </c>
      <c r="G15" s="1096"/>
      <c r="I15" s="1097"/>
      <c r="J15" s="1097"/>
    </row>
    <row r="16" spans="1:11" ht="15.75">
      <c r="A16" s="1092">
        <f t="shared" ref="A16:A29" si="0">+A15+1</f>
        <v>2</v>
      </c>
      <c r="B16" s="1802" t="s">
        <v>958</v>
      </c>
      <c r="C16" s="1802" t="s">
        <v>954</v>
      </c>
      <c r="D16" s="1095">
        <v>0</v>
      </c>
      <c r="E16" s="1095"/>
      <c r="F16" s="1095">
        <f>+D16</f>
        <v>0</v>
      </c>
      <c r="G16" s="1096"/>
      <c r="I16" s="1097"/>
      <c r="J16" s="1097"/>
    </row>
    <row r="17" spans="1:7">
      <c r="A17" s="1092">
        <f t="shared" si="0"/>
        <v>3</v>
      </c>
      <c r="B17" s="1802" t="s">
        <v>959</v>
      </c>
      <c r="C17" s="1802" t="s">
        <v>955</v>
      </c>
      <c r="D17" s="1095">
        <v>-0.61</v>
      </c>
      <c r="E17" s="1803"/>
      <c r="F17" s="1095">
        <f>+D17</f>
        <v>-0.61</v>
      </c>
      <c r="G17" s="1096"/>
    </row>
    <row r="18" spans="1:7">
      <c r="A18" s="1092">
        <f t="shared" si="0"/>
        <v>4</v>
      </c>
      <c r="B18" s="1802" t="s">
        <v>960</v>
      </c>
      <c r="C18" s="1802" t="s">
        <v>956</v>
      </c>
      <c r="D18" s="1095">
        <v>1.72</v>
      </c>
      <c r="E18" s="1803"/>
      <c r="F18" s="1095">
        <f>+D18</f>
        <v>1.72</v>
      </c>
      <c r="G18" s="1096"/>
    </row>
    <row r="19" spans="1:7">
      <c r="A19" s="1092">
        <f t="shared" si="0"/>
        <v>5</v>
      </c>
      <c r="B19" s="1098"/>
      <c r="C19" s="1099"/>
      <c r="D19" s="1095"/>
      <c r="E19" s="1095"/>
      <c r="F19" s="1095"/>
      <c r="G19" s="1096"/>
    </row>
    <row r="20" spans="1:7">
      <c r="A20" s="1092">
        <f t="shared" si="0"/>
        <v>6</v>
      </c>
      <c r="B20" s="1098"/>
      <c r="C20" s="1099"/>
      <c r="D20" s="1095"/>
      <c r="E20" s="1095"/>
      <c r="F20" s="1095"/>
      <c r="G20" s="1096"/>
    </row>
    <row r="21" spans="1:7">
      <c r="A21" s="1092">
        <f t="shared" si="0"/>
        <v>7</v>
      </c>
      <c r="B21" s="1098"/>
      <c r="C21" s="1099"/>
      <c r="D21" s="1095"/>
      <c r="E21" s="1095"/>
      <c r="F21" s="1095"/>
      <c r="G21" s="1096"/>
    </row>
    <row r="22" spans="1:7">
      <c r="A22" s="1092">
        <f t="shared" si="0"/>
        <v>8</v>
      </c>
      <c r="B22" s="1098"/>
      <c r="C22" s="1099"/>
      <c r="D22" s="1095"/>
      <c r="E22" s="1095"/>
      <c r="F22" s="1095"/>
      <c r="G22" s="1096"/>
    </row>
    <row r="23" spans="1:7">
      <c r="A23" s="1092">
        <f t="shared" si="0"/>
        <v>9</v>
      </c>
      <c r="B23" s="1098"/>
      <c r="C23" s="1099"/>
      <c r="D23" s="1095"/>
      <c r="E23" s="1095"/>
      <c r="F23" s="1095"/>
      <c r="G23" s="1096"/>
    </row>
    <row r="24" spans="1:7">
      <c r="A24" s="1092">
        <f t="shared" si="0"/>
        <v>10</v>
      </c>
      <c r="B24" s="1098"/>
      <c r="C24" s="1099"/>
      <c r="D24" s="1100"/>
      <c r="E24" s="1095"/>
      <c r="F24" s="1095"/>
      <c r="G24" s="1096"/>
    </row>
    <row r="25" spans="1:7">
      <c r="A25" s="1092">
        <f t="shared" si="0"/>
        <v>11</v>
      </c>
      <c r="B25" s="1804"/>
      <c r="C25" s="1102"/>
      <c r="D25" s="1803"/>
      <c r="E25" s="1803"/>
      <c r="F25" s="1805"/>
      <c r="G25" s="1105"/>
    </row>
    <row r="26" spans="1:7">
      <c r="A26" s="1092">
        <f t="shared" si="0"/>
        <v>12</v>
      </c>
      <c r="B26" s="1804"/>
      <c r="C26" s="1102"/>
      <c r="D26" s="1803"/>
      <c r="E26" s="1803"/>
      <c r="F26" s="1805"/>
      <c r="G26" s="1105"/>
    </row>
    <row r="27" spans="1:7">
      <c r="A27" s="1092">
        <f t="shared" si="0"/>
        <v>13</v>
      </c>
      <c r="B27" s="1804"/>
      <c r="C27" s="1102"/>
      <c r="D27" s="1803"/>
      <c r="E27" s="1803"/>
      <c r="F27" s="1805"/>
      <c r="G27" s="1105"/>
    </row>
    <row r="28" spans="1:7">
      <c r="A28" s="1092">
        <f t="shared" si="0"/>
        <v>14</v>
      </c>
      <c r="B28" s="1804"/>
      <c r="C28" s="1102"/>
      <c r="D28" s="1803"/>
      <c r="E28" s="1803"/>
      <c r="F28" s="1805"/>
      <c r="G28" s="1105"/>
    </row>
    <row r="29" spans="1:7">
      <c r="A29" s="1092">
        <f t="shared" si="0"/>
        <v>15</v>
      </c>
      <c r="B29" s="1804"/>
      <c r="C29" s="1102"/>
      <c r="D29" s="1803"/>
      <c r="E29" s="1803"/>
      <c r="F29" s="1805"/>
      <c r="G29" s="1105"/>
    </row>
    <row r="30" spans="1:7">
      <c r="B30" s="1106"/>
      <c r="C30" s="1107"/>
      <c r="D30" s="1108"/>
      <c r="E30" s="1109"/>
      <c r="F30" s="1110"/>
      <c r="G30" s="1083"/>
    </row>
    <row r="31" spans="1:7" ht="15.75">
      <c r="A31" s="1084">
        <f>+A29+1</f>
        <v>16</v>
      </c>
      <c r="B31" s="1111"/>
      <c r="C31" s="1112" t="s">
        <v>600</v>
      </c>
      <c r="D31" s="1113">
        <f>SUM(D15:D29)</f>
        <v>1.1200000000000001</v>
      </c>
      <c r="E31" s="1113">
        <f>SUM(E15:E29)</f>
        <v>0</v>
      </c>
      <c r="F31" s="1113">
        <f>SUM(F15:F29)</f>
        <v>1.1200000000000001</v>
      </c>
      <c r="G31"/>
    </row>
    <row r="32" spans="1:7" ht="15.75">
      <c r="B32" s="1111"/>
      <c r="C32" s="1114"/>
      <c r="D32" s="1115"/>
      <c r="E32" s="1083"/>
      <c r="F32" s="1083"/>
      <c r="G32" s="1083"/>
    </row>
    <row r="33" spans="1:19" ht="15.75">
      <c r="B33" s="1116"/>
      <c r="C33" s="1091" t="s">
        <v>347</v>
      </c>
      <c r="D33" s="1083"/>
      <c r="E33" s="1083"/>
      <c r="F33" s="1083"/>
      <c r="G33" s="1083"/>
      <c r="H33" s="137"/>
    </row>
    <row r="34" spans="1:19">
      <c r="A34" s="1084">
        <f>A31+1</f>
        <v>17</v>
      </c>
      <c r="B34" s="1802" t="s">
        <v>961</v>
      </c>
      <c r="C34" s="1802" t="s">
        <v>962</v>
      </c>
      <c r="D34" s="1095">
        <v>0.01</v>
      </c>
      <c r="E34" s="1803"/>
      <c r="F34" s="1803">
        <f>+D34</f>
        <v>0.01</v>
      </c>
      <c r="G34" s="1805"/>
      <c r="H34" s="137"/>
    </row>
    <row r="35" spans="1:19">
      <c r="A35" s="1084">
        <f>+A34+1</f>
        <v>18</v>
      </c>
      <c r="B35" s="1804"/>
      <c r="C35" s="1806"/>
      <c r="D35" s="1803"/>
      <c r="E35" s="1803"/>
      <c r="F35" s="1803"/>
      <c r="G35" s="1805"/>
      <c r="H35" s="137"/>
    </row>
    <row r="36" spans="1:19">
      <c r="A36" s="1084">
        <f>+A35+1</f>
        <v>19</v>
      </c>
      <c r="B36" s="1804"/>
      <c r="C36" s="1806"/>
      <c r="D36" s="1803"/>
      <c r="E36" s="1803"/>
      <c r="F36" s="1803"/>
      <c r="G36" s="1805"/>
      <c r="H36" s="131"/>
      <c r="M36" s="1352"/>
      <c r="N36" s="1352"/>
      <c r="O36" s="1807"/>
      <c r="P36" s="1807"/>
      <c r="Q36" s="1807"/>
      <c r="R36" s="1807"/>
      <c r="S36" s="1807"/>
    </row>
    <row r="37" spans="1:19">
      <c r="A37" s="1084">
        <f>+A36+1</f>
        <v>20</v>
      </c>
      <c r="B37" s="1804"/>
      <c r="C37" s="1806"/>
      <c r="D37" s="1803"/>
      <c r="E37" s="1803"/>
      <c r="F37" s="1803"/>
      <c r="G37" s="1805"/>
      <c r="H37" s="131"/>
      <c r="M37" s="1352"/>
      <c r="N37" s="1352"/>
      <c r="O37" s="1807"/>
      <c r="P37" s="1807"/>
      <c r="Q37" s="1807"/>
      <c r="R37" s="1807"/>
      <c r="S37" s="1807"/>
    </row>
    <row r="38" spans="1:19">
      <c r="A38" s="1084">
        <f>+A37+1</f>
        <v>21</v>
      </c>
      <c r="B38" s="1804"/>
      <c r="C38" s="1806"/>
      <c r="D38" s="1803"/>
      <c r="E38" s="1803"/>
      <c r="F38" s="1803"/>
      <c r="G38" s="1805"/>
      <c r="H38" s="131"/>
      <c r="M38" s="1352"/>
      <c r="N38" s="1352"/>
      <c r="O38" s="1807"/>
      <c r="P38" s="1807"/>
      <c r="Q38" s="1807"/>
      <c r="R38" s="1807"/>
      <c r="S38" s="1807"/>
    </row>
    <row r="39" spans="1:19">
      <c r="B39" s="461"/>
      <c r="C39" s="567"/>
      <c r="D39" s="1120"/>
      <c r="E39" s="1120"/>
      <c r="F39" s="1120"/>
      <c r="G39" s="1120"/>
      <c r="H39" s="131"/>
    </row>
    <row r="40" spans="1:19">
      <c r="B40" s="1106"/>
      <c r="C40" s="1083"/>
      <c r="D40" s="1121"/>
      <c r="E40" s="1122"/>
      <c r="F40" s="1121"/>
      <c r="G40" s="1083"/>
      <c r="H40" s="131"/>
    </row>
    <row r="41" spans="1:19" ht="15.75">
      <c r="A41" s="1084">
        <f>+A38+1</f>
        <v>22</v>
      </c>
      <c r="B41" s="1111"/>
      <c r="C41" s="1808" t="s">
        <v>601</v>
      </c>
      <c r="D41" s="1124">
        <f>SUM(D34:D40)</f>
        <v>0.01</v>
      </c>
      <c r="E41" s="1124">
        <f>SUM(E34:E40)</f>
        <v>0</v>
      </c>
      <c r="F41" s="1124">
        <f>SUM(F34:F40)</f>
        <v>0.01</v>
      </c>
      <c r="G41"/>
    </row>
    <row r="42" spans="1:19" ht="12.75" customHeight="1">
      <c r="B42" s="280"/>
      <c r="C42" s="404"/>
      <c r="D42" s="1125"/>
      <c r="E42" s="1125"/>
      <c r="F42" s="1125"/>
      <c r="G42" s="404"/>
    </row>
    <row r="43" spans="1:19" ht="15.75">
      <c r="B43" s="1126"/>
      <c r="C43" s="1091" t="s">
        <v>346</v>
      </c>
      <c r="D43" s="1127"/>
      <c r="E43" s="1127"/>
      <c r="F43" s="1127"/>
      <c r="G43" s="534"/>
    </row>
    <row r="44" spans="1:19">
      <c r="A44" s="1084">
        <f>+A41+1</f>
        <v>23</v>
      </c>
      <c r="B44" s="1802" t="s">
        <v>963</v>
      </c>
      <c r="C44" s="1802" t="s">
        <v>964</v>
      </c>
      <c r="D44" s="1803">
        <v>6007.4400000000005</v>
      </c>
      <c r="E44" s="1803"/>
      <c r="F44" s="1803">
        <f>+D44</f>
        <v>6007.4400000000005</v>
      </c>
      <c r="G44" s="1805"/>
      <c r="H44" s="137"/>
      <c r="I44" s="137"/>
    </row>
    <row r="45" spans="1:19">
      <c r="A45" s="1084">
        <f>+A44+1</f>
        <v>24</v>
      </c>
      <c r="B45" s="1809"/>
      <c r="C45" s="1806"/>
      <c r="D45" s="1803"/>
      <c r="E45" s="1803"/>
      <c r="F45" s="1803"/>
      <c r="G45" s="1805"/>
      <c r="H45" s="137"/>
      <c r="I45" s="137"/>
    </row>
    <row r="46" spans="1:19">
      <c r="A46" s="1084">
        <f>+A45+1</f>
        <v>25</v>
      </c>
      <c r="B46" s="1809"/>
      <c r="C46" s="1806"/>
      <c r="D46" s="1803"/>
      <c r="E46" s="1803"/>
      <c r="F46" s="1803"/>
      <c r="G46" s="1805"/>
      <c r="H46" s="137"/>
      <c r="I46" s="137"/>
    </row>
    <row r="47" spans="1:19">
      <c r="A47" s="1084">
        <f>+A46+1</f>
        <v>26</v>
      </c>
      <c r="B47" s="1809"/>
      <c r="C47" s="1806"/>
      <c r="D47" s="1803"/>
      <c r="E47" s="1803"/>
      <c r="F47" s="1803"/>
      <c r="G47" s="1805"/>
      <c r="H47" s="131"/>
      <c r="I47" s="131"/>
      <c r="J47" s="1807"/>
      <c r="K47" s="1807"/>
    </row>
    <row r="48" spans="1:19">
      <c r="A48" s="1084">
        <f>+A47+1</f>
        <v>27</v>
      </c>
      <c r="B48" s="1809"/>
      <c r="C48" s="1806"/>
      <c r="D48" s="1803"/>
      <c r="E48" s="1803"/>
      <c r="F48" s="1803"/>
      <c r="G48" s="1805"/>
      <c r="H48" s="131"/>
      <c r="I48" s="131"/>
    </row>
    <row r="49" spans="1:10">
      <c r="B49" s="404"/>
      <c r="C49" s="404"/>
      <c r="D49" s="404"/>
      <c r="E49" s="404"/>
      <c r="F49" s="404"/>
      <c r="G49" s="404"/>
    </row>
    <row r="50" spans="1:10" ht="15.75">
      <c r="A50" s="1084">
        <f>+A48+1</f>
        <v>28</v>
      </c>
      <c r="B50" s="404"/>
      <c r="C50" s="1808" t="s">
        <v>602</v>
      </c>
      <c r="D50" s="1113">
        <f>SUM(D44:D49)</f>
        <v>6007.4400000000005</v>
      </c>
      <c r="E50" s="1130">
        <f>SUM(E44:E49)</f>
        <v>0</v>
      </c>
      <c r="F50" s="1130">
        <f>SUM(F44:F49)</f>
        <v>6007.4400000000005</v>
      </c>
      <c r="G50"/>
      <c r="J50" s="1131"/>
    </row>
    <row r="51" spans="1:10">
      <c r="B51" s="276"/>
      <c r="C51" s="276"/>
      <c r="D51" s="1132"/>
      <c r="E51" s="276"/>
      <c r="F51" s="276"/>
      <c r="G51" s="276"/>
    </row>
    <row r="53" spans="1:10" ht="47.25" customHeight="1">
      <c r="B53" s="2262"/>
      <c r="C53" s="2262"/>
      <c r="D53" s="2262"/>
      <c r="E53" s="2262"/>
      <c r="F53" s="2262"/>
      <c r="G53" s="2262"/>
    </row>
    <row r="54" spans="1:10">
      <c r="D54" s="1133"/>
    </row>
    <row r="57" spans="1:10">
      <c r="D57" s="1134"/>
    </row>
  </sheetData>
  <mergeCells count="7">
    <mergeCell ref="B53:G53"/>
    <mergeCell ref="A2:G2"/>
    <mergeCell ref="A3:G3"/>
    <mergeCell ref="A4:G4"/>
    <mergeCell ref="A5:G5"/>
    <mergeCell ref="A6:F6"/>
    <mergeCell ref="A7:G7"/>
  </mergeCells>
  <conditionalFormatting sqref="H41 K15:K16 H50:I50 H31:I31 H15:H29">
    <cfRule type="cellIs" dxfId="0" priority="1" stopIfTrue="1" operator="equal">
      <formula>FALSE</formula>
    </cfRule>
  </conditionalFormatting>
  <printOptions horizontalCentered="1"/>
  <pageMargins left="0.75" right="0.75" top="1" bottom="0.25" header="0.65" footer="0.5"/>
  <pageSetup scale="10" orientation="portrait" horizontalDpi="1200" verticalDpi="1200" r:id="rId1"/>
  <headerFooter alignWithMargins="0">
    <oddHeader xml:space="preserve">&amp;R&amp;12AEP - SPP Transco Formula Rate
 TCOS - WS J
Page: &amp;P of &amp;N&amp;16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53"/>
  <sheetViews>
    <sheetView topLeftCell="A2" zoomScale="81" zoomScaleNormal="81" zoomScaleSheetLayoutView="75" workbookViewId="0">
      <selection activeCell="I22" sqref="I22"/>
    </sheetView>
  </sheetViews>
  <sheetFormatPr defaultColWidth="8.7109375" defaultRowHeight="12.75"/>
  <cols>
    <col min="1" max="1" width="9.28515625" style="276" bestFit="1" customWidth="1"/>
    <col min="2" max="2" width="32.5703125" style="276" customWidth="1"/>
    <col min="3" max="4" width="8.7109375" style="276"/>
    <col min="5" max="5" width="15" style="276" customWidth="1"/>
    <col min="6" max="6" width="11" style="276" bestFit="1" customWidth="1"/>
    <col min="7" max="7" width="10.7109375" style="276" customWidth="1"/>
    <col min="8" max="8" width="5" style="276" customWidth="1"/>
    <col min="9" max="9" width="21" style="276" bestFit="1" customWidth="1"/>
    <col min="10" max="10" width="2.28515625" style="276" customWidth="1"/>
    <col min="11" max="11" width="15.5703125" style="276" bestFit="1" customWidth="1"/>
    <col min="12" max="12" width="4.7109375" style="276" customWidth="1"/>
    <col min="13" max="16384" width="8.7109375" style="276"/>
  </cols>
  <sheetData>
    <row r="1" spans="1:12" ht="15">
      <c r="A1" s="547"/>
    </row>
    <row r="2" spans="1:12" ht="18">
      <c r="A2" s="2192" t="str">
        <f>+'SWT TCOS'!F4</f>
        <v xml:space="preserve">AEP West SPP Member Transmission Companies </v>
      </c>
      <c r="B2" s="2192"/>
      <c r="C2" s="2192"/>
      <c r="D2" s="2192"/>
      <c r="E2" s="2192"/>
      <c r="F2" s="2192"/>
      <c r="G2" s="2192"/>
      <c r="H2" s="2192"/>
      <c r="I2" s="1135"/>
      <c r="J2" s="1135"/>
    </row>
    <row r="3" spans="1:12" ht="18">
      <c r="A3" s="2302" t="str">
        <f>+'SWT WS A-1 - Plant'!A3</f>
        <v xml:space="preserve">Actual / Projected 2022 Rate Year Cost of Service Formula Rate </v>
      </c>
      <c r="B3" s="2302"/>
      <c r="C3" s="2302"/>
      <c r="D3" s="2302"/>
      <c r="E3" s="2302"/>
      <c r="F3" s="2302"/>
      <c r="G3" s="2302"/>
      <c r="H3" s="2302"/>
      <c r="I3" s="1135"/>
      <c r="J3" s="1135"/>
    </row>
    <row r="4" spans="1:12" ht="18">
      <c r="A4" s="2303" t="s">
        <v>114</v>
      </c>
      <c r="B4" s="2302"/>
      <c r="C4" s="2302"/>
      <c r="D4" s="2302"/>
      <c r="E4" s="2302"/>
      <c r="F4" s="2302"/>
      <c r="G4" s="2302"/>
      <c r="H4" s="2302"/>
      <c r="I4" s="1135"/>
      <c r="J4" s="1135"/>
    </row>
    <row r="5" spans="1:12" ht="18">
      <c r="A5" s="2243" t="str">
        <f>+'SWT TCOS'!F8</f>
        <v>AEP SOUTHWESTERN TRANSMISSION COMPANY</v>
      </c>
      <c r="B5" s="2243"/>
      <c r="C5" s="2243"/>
      <c r="D5" s="2243"/>
      <c r="E5" s="2243"/>
      <c r="F5" s="2243"/>
      <c r="G5" s="2243"/>
      <c r="I5" s="1135"/>
      <c r="J5" s="1135"/>
    </row>
    <row r="7" spans="1:12" ht="21.75" customHeight="1">
      <c r="A7" s="1136" t="s">
        <v>307</v>
      </c>
      <c r="B7" s="721" t="str">
        <f>"DEVELOPMENT OF COMPOSITE STATE INCOME TAX  RATES FOR "&amp;'SWT TCOS'!$N$2&amp;""</f>
        <v>DEVELOPMENT OF COMPOSITE STATE INCOME TAX  RATES FOR 2022</v>
      </c>
      <c r="C7" s="721"/>
      <c r="D7" s="721"/>
      <c r="E7" s="721"/>
      <c r="F7" s="721"/>
      <c r="G7" s="721"/>
      <c r="H7" s="721"/>
      <c r="I7" s="721"/>
      <c r="J7" s="721"/>
    </row>
    <row r="8" spans="1:12" ht="12.75" customHeight="1">
      <c r="A8" s="721"/>
    </row>
    <row r="9" spans="1:12" ht="18">
      <c r="A9" s="1137"/>
      <c r="B9" s="1138" t="s">
        <v>951</v>
      </c>
      <c r="C9" s="1138"/>
      <c r="D9" s="1139" t="s">
        <v>1250</v>
      </c>
      <c r="E9" s="1140">
        <v>5.8999999999999997E-2</v>
      </c>
      <c r="F9" s="404"/>
      <c r="G9" s="1141"/>
      <c r="H9" s="1141"/>
      <c r="L9" s="325"/>
    </row>
    <row r="10" spans="1:12" ht="15">
      <c r="A10" s="325"/>
      <c r="B10" s="275" t="s">
        <v>337</v>
      </c>
      <c r="C10" s="1142"/>
      <c r="D10" s="1142"/>
      <c r="E10" s="1140">
        <v>0</v>
      </c>
      <c r="F10" s="404"/>
      <c r="G10" s="1141"/>
      <c r="H10" s="1141"/>
      <c r="L10" s="325"/>
    </row>
    <row r="11" spans="1:12" ht="15">
      <c r="A11" s="325"/>
      <c r="B11" s="275" t="s">
        <v>36</v>
      </c>
      <c r="C11" s="1142"/>
      <c r="D11" s="1142"/>
      <c r="E11" s="404"/>
      <c r="F11" s="1143">
        <f>ROUND(E9*E10,6)</f>
        <v>0</v>
      </c>
      <c r="G11" s="1141"/>
      <c r="L11" s="325"/>
    </row>
    <row r="12" spans="1:12" ht="15">
      <c r="A12" s="325"/>
      <c r="B12" s="275"/>
      <c r="C12" s="1142"/>
      <c r="D12" s="1142"/>
      <c r="E12" s="1142"/>
      <c r="F12" s="1144"/>
      <c r="G12" s="1141"/>
      <c r="L12" s="325"/>
    </row>
    <row r="13" spans="1:12" ht="15">
      <c r="A13" s="325"/>
      <c r="B13" s="1138" t="s">
        <v>952</v>
      </c>
      <c r="C13" s="1138"/>
      <c r="D13" s="1139" t="s">
        <v>128</v>
      </c>
      <c r="E13" s="1140">
        <v>7.4999999999999997E-2</v>
      </c>
      <c r="F13" s="1143"/>
      <c r="G13" s="1141"/>
      <c r="L13" s="325"/>
    </row>
    <row r="14" spans="1:12" ht="15">
      <c r="A14" s="325"/>
      <c r="B14" s="275" t="s">
        <v>337</v>
      </c>
      <c r="C14" s="1142"/>
      <c r="D14" s="1142"/>
      <c r="E14" s="1140">
        <v>1</v>
      </c>
      <c r="F14" s="1143"/>
      <c r="G14" s="1141"/>
      <c r="L14" s="325"/>
    </row>
    <row r="15" spans="1:12" ht="15">
      <c r="A15" s="325"/>
      <c r="B15" s="275" t="s">
        <v>36</v>
      </c>
      <c r="C15" s="1142"/>
      <c r="D15" s="1142"/>
      <c r="E15" s="404"/>
      <c r="F15" s="1143">
        <f>ROUND(E13*E14,6)</f>
        <v>7.4999999999999997E-2</v>
      </c>
      <c r="G15" s="1141"/>
      <c r="L15" s="325"/>
    </row>
    <row r="16" spans="1:12" ht="15">
      <c r="A16" s="325"/>
      <c r="B16" s="275"/>
      <c r="C16" s="1142"/>
      <c r="D16" s="1142"/>
      <c r="E16" s="1142"/>
      <c r="F16" s="1143"/>
      <c r="G16" s="1141"/>
      <c r="L16" s="325"/>
    </row>
    <row r="17" spans="1:12" ht="15">
      <c r="A17" s="325"/>
      <c r="B17" s="1138" t="s">
        <v>654</v>
      </c>
      <c r="C17" s="1138"/>
      <c r="D17" s="1145"/>
      <c r="E17" s="1140"/>
      <c r="F17" s="1146"/>
      <c r="G17" s="1141"/>
      <c r="L17" s="325"/>
    </row>
    <row r="18" spans="1:12" ht="15">
      <c r="A18" s="325"/>
      <c r="B18" s="275" t="s">
        <v>337</v>
      </c>
      <c r="C18" s="1142"/>
      <c r="D18" s="1145"/>
      <c r="E18" s="1140"/>
      <c r="F18" s="1146"/>
      <c r="G18" s="1141"/>
      <c r="L18" s="325"/>
    </row>
    <row r="19" spans="1:12" ht="15">
      <c r="A19" s="325"/>
      <c r="B19" s="275" t="s">
        <v>36</v>
      </c>
      <c r="C19" s="1142"/>
      <c r="D19" s="1145"/>
      <c r="E19" s="404"/>
      <c r="F19" s="1143">
        <f>ROUND(E17*E18,6)</f>
        <v>0</v>
      </c>
      <c r="G19" s="1141"/>
      <c r="L19" s="325"/>
    </row>
    <row r="20" spans="1:12" ht="15">
      <c r="A20" s="325"/>
      <c r="B20" s="275"/>
      <c r="C20" s="1142"/>
      <c r="D20" s="1145"/>
      <c r="E20" s="1142"/>
      <c r="F20" s="1143"/>
      <c r="G20" s="1141"/>
      <c r="L20" s="325"/>
    </row>
    <row r="21" spans="1:12" ht="15">
      <c r="A21" s="325"/>
      <c r="B21" s="1138" t="s">
        <v>654</v>
      </c>
      <c r="C21" s="1138"/>
      <c r="D21" s="1145"/>
      <c r="E21" s="1140"/>
      <c r="F21" s="1143"/>
      <c r="G21" s="1141"/>
      <c r="L21" s="325"/>
    </row>
    <row r="22" spans="1:12" ht="15">
      <c r="A22" s="325"/>
      <c r="B22" s="275" t="s">
        <v>337</v>
      </c>
      <c r="C22" s="1145"/>
      <c r="D22" s="1145"/>
      <c r="E22" s="1140"/>
      <c r="F22" s="1143"/>
      <c r="G22" s="1141"/>
      <c r="L22" s="325"/>
    </row>
    <row r="23" spans="1:12" ht="15">
      <c r="A23" s="325"/>
      <c r="B23" s="275" t="s">
        <v>36</v>
      </c>
      <c r="C23" s="1145"/>
      <c r="D23" s="1145"/>
      <c r="E23" s="1147"/>
      <c r="F23" s="1143">
        <f>ROUND(E21*E22,6)</f>
        <v>0</v>
      </c>
      <c r="G23" s="1141"/>
      <c r="L23" s="325"/>
    </row>
    <row r="24" spans="1:12" ht="15">
      <c r="A24" s="325"/>
      <c r="B24" s="275"/>
      <c r="C24" s="1142"/>
      <c r="D24" s="1142"/>
      <c r="E24" s="404"/>
      <c r="F24" s="1143"/>
      <c r="G24" s="1141"/>
      <c r="L24" s="325"/>
    </row>
    <row r="25" spans="1:12" ht="15">
      <c r="A25" s="325"/>
      <c r="B25" s="1138" t="s">
        <v>426</v>
      </c>
      <c r="C25" s="1138"/>
      <c r="D25" s="1145"/>
      <c r="E25" s="1140"/>
      <c r="F25" s="1143"/>
      <c r="G25" s="1141"/>
      <c r="L25" s="325"/>
    </row>
    <row r="26" spans="1:12" ht="15">
      <c r="A26" s="325"/>
      <c r="B26" s="275" t="s">
        <v>337</v>
      </c>
      <c r="C26" s="1145"/>
      <c r="D26" s="1145"/>
      <c r="E26" s="1140"/>
      <c r="F26" s="1143"/>
      <c r="G26" s="1141"/>
      <c r="L26" s="325"/>
    </row>
    <row r="27" spans="1:12" ht="15">
      <c r="A27" s="325"/>
      <c r="B27" s="275" t="s">
        <v>36</v>
      </c>
      <c r="C27" s="1145"/>
      <c r="D27" s="1145"/>
      <c r="E27" s="1147"/>
      <c r="F27" s="1143">
        <f>ROUND(E25*E26,6)</f>
        <v>0</v>
      </c>
      <c r="G27" s="1141"/>
      <c r="L27" s="325"/>
    </row>
    <row r="28" spans="1:12" ht="15">
      <c r="A28" s="325"/>
      <c r="B28" s="275"/>
      <c r="C28" s="1142"/>
      <c r="D28" s="1142"/>
      <c r="E28" s="404"/>
      <c r="F28" s="1143"/>
      <c r="G28" s="1141"/>
      <c r="L28" s="325"/>
    </row>
    <row r="29" spans="1:12" ht="15.75" thickBot="1">
      <c r="A29" s="325"/>
      <c r="B29" s="404" t="s">
        <v>338</v>
      </c>
      <c r="C29" s="1142"/>
      <c r="D29" s="1142"/>
      <c r="E29" s="404"/>
      <c r="F29" s="1148">
        <f>+ROUND(SUM(F10:F28),4)</f>
        <v>7.4999999999999997E-2</v>
      </c>
      <c r="G29" s="1141"/>
      <c r="I29" s="1810"/>
      <c r="L29" s="325"/>
    </row>
    <row r="30" spans="1:12" ht="13.5" thickTop="1">
      <c r="A30" s="325"/>
      <c r="G30" s="1141"/>
      <c r="L30" s="325"/>
    </row>
    <row r="31" spans="1:12" ht="15">
      <c r="A31" s="325"/>
      <c r="B31" s="1150" t="s">
        <v>1249</v>
      </c>
      <c r="G31" s="1141"/>
      <c r="L31" s="325"/>
    </row>
    <row r="32" spans="1:12" ht="15">
      <c r="A32" s="325"/>
      <c r="B32" s="404" t="s">
        <v>1251</v>
      </c>
      <c r="G32" s="1141"/>
      <c r="L32" s="325"/>
    </row>
    <row r="33" spans="1:12" ht="15">
      <c r="A33" s="325"/>
      <c r="B33" s="404"/>
      <c r="G33" s="1141"/>
      <c r="L33" s="325"/>
    </row>
    <row r="34" spans="1:12" ht="18">
      <c r="A34" s="1136" t="s">
        <v>308</v>
      </c>
      <c r="B34" s="721" t="s">
        <v>357</v>
      </c>
      <c r="C34" s="404"/>
      <c r="D34" s="404"/>
      <c r="E34" s="404"/>
      <c r="F34" s="404"/>
    </row>
    <row r="35" spans="1:12" ht="18">
      <c r="C35" s="721"/>
      <c r="I35" s="2265" t="s">
        <v>499</v>
      </c>
      <c r="J35" s="2265"/>
      <c r="K35" s="2265"/>
      <c r="L35" s="404"/>
    </row>
    <row r="36" spans="1:12" ht="15">
      <c r="I36" s="404"/>
      <c r="J36" s="404"/>
      <c r="K36" s="404"/>
      <c r="L36" s="404"/>
    </row>
    <row r="37" spans="1:12" ht="15">
      <c r="I37" s="650" t="s">
        <v>37</v>
      </c>
      <c r="J37" s="650"/>
      <c r="K37" s="650" t="s">
        <v>38</v>
      </c>
      <c r="L37" s="404"/>
    </row>
    <row r="38" spans="1:12" ht="15">
      <c r="A38" s="650" t="s">
        <v>150</v>
      </c>
      <c r="B38" s="57" t="str">
        <f>"REVENUE REQUIREMENT BEFORE TEXAS GROSS MARGIN TAX (TCOS ln "&amp;'SWT TCOS'!B191&amp;") "</f>
        <v xml:space="preserve">REVENUE REQUIREMENT BEFORE TEXAS GROSS MARGIN TAX (TCOS ln 116) </v>
      </c>
      <c r="I38" s="1151">
        <f>+'SWT TCOS'!G188</f>
        <v>95911.070898734179</v>
      </c>
      <c r="J38" s="404"/>
      <c r="K38" s="1151">
        <f>+'SWT TCOS'!L188</f>
        <v>156951.63069833507</v>
      </c>
      <c r="L38" s="404"/>
    </row>
    <row r="39" spans="1:12" ht="15">
      <c r="A39" s="404"/>
      <c r="B39" s="57"/>
      <c r="I39" s="404"/>
      <c r="J39" s="404"/>
      <c r="K39" s="404"/>
      <c r="L39" s="404"/>
    </row>
    <row r="40" spans="1:12" ht="15">
      <c r="A40" s="650">
        <v>1</v>
      </c>
      <c r="B40" s="57" t="str">
        <f>"Apportionment Factor to Texas (ln"&amp;A53&amp;")"</f>
        <v>Apportionment Factor to Texas (ln12)</v>
      </c>
      <c r="I40" s="1152">
        <f>+$E53</f>
        <v>0</v>
      </c>
      <c r="J40" s="404"/>
      <c r="K40" s="1152">
        <f>+$E53</f>
        <v>0</v>
      </c>
      <c r="L40" s="404"/>
    </row>
    <row r="41" spans="1:12" ht="15">
      <c r="A41" s="650">
        <f t="shared" ref="A41:A46" si="0">+A40+1</f>
        <v>2</v>
      </c>
      <c r="B41" s="57" t="s">
        <v>39</v>
      </c>
      <c r="I41" s="79">
        <f>+I38*I40</f>
        <v>0</v>
      </c>
      <c r="J41" s="404"/>
      <c r="K41" s="79">
        <f>+K38*K40</f>
        <v>0</v>
      </c>
      <c r="L41" s="404"/>
    </row>
    <row r="42" spans="1:12" ht="15">
      <c r="A42" s="650">
        <f t="shared" si="0"/>
        <v>3</v>
      </c>
      <c r="B42" s="57" t="s">
        <v>642</v>
      </c>
      <c r="I42" s="1153">
        <v>0.22</v>
      </c>
      <c r="J42" s="404"/>
      <c r="K42" s="1154">
        <f>+I42</f>
        <v>0.22</v>
      </c>
      <c r="L42" s="404"/>
    </row>
    <row r="43" spans="1:12" ht="15">
      <c r="A43" s="650">
        <f t="shared" si="0"/>
        <v>4</v>
      </c>
      <c r="B43" s="57" t="s">
        <v>40</v>
      </c>
      <c r="I43" s="1155">
        <f>+I41*I42</f>
        <v>0</v>
      </c>
      <c r="J43" s="404"/>
      <c r="K43" s="1155">
        <f>+K41*K42</f>
        <v>0</v>
      </c>
      <c r="L43" s="404"/>
    </row>
    <row r="44" spans="1:12" ht="15">
      <c r="A44" s="650">
        <f t="shared" si="0"/>
        <v>5</v>
      </c>
      <c r="B44" s="57" t="s">
        <v>643</v>
      </c>
      <c r="I44" s="1154">
        <v>0.01</v>
      </c>
      <c r="J44" s="404"/>
      <c r="K44" s="1154">
        <f>+I44</f>
        <v>0.01</v>
      </c>
      <c r="L44" s="404"/>
    </row>
    <row r="45" spans="1:12" ht="15">
      <c r="A45" s="650">
        <f t="shared" si="0"/>
        <v>6</v>
      </c>
      <c r="B45" s="57" t="s">
        <v>41</v>
      </c>
      <c r="I45" s="286">
        <f>+I43*I44</f>
        <v>0</v>
      </c>
      <c r="J45" s="404"/>
      <c r="K45" s="286">
        <f>+K43*K44</f>
        <v>0</v>
      </c>
      <c r="L45" s="404"/>
    </row>
    <row r="46" spans="1:12" ht="15">
      <c r="A46" s="650">
        <f t="shared" si="0"/>
        <v>7</v>
      </c>
      <c r="B46" s="53" t="s">
        <v>42</v>
      </c>
      <c r="I46" s="302">
        <f>+ROUND((I45*I42*I40)/(1-I44)*I44,0)</f>
        <v>0</v>
      </c>
      <c r="J46" s="404"/>
      <c r="K46" s="302">
        <f>+ROUND((K45*K42*K40)/(1-K44)*K44,0)</f>
        <v>0</v>
      </c>
      <c r="L46" s="404"/>
    </row>
    <row r="47" spans="1:12" ht="15">
      <c r="A47" s="650"/>
      <c r="B47" s="53"/>
      <c r="D47" s="1156" t="str">
        <f>"   ((ln "&amp;A45&amp;" * ln "&amp;A42&amp;" * ln "&amp;A40&amp;")/(1- ln "&amp;A44&amp;") * ln "&amp;A44&amp;")"</f>
        <v xml:space="preserve">   ((ln 6 * ln 3 * ln 1)/(1- ln 5) * ln 5)</v>
      </c>
      <c r="I47" s="302"/>
      <c r="J47" s="404"/>
      <c r="K47" s="302"/>
      <c r="L47" s="404"/>
    </row>
    <row r="48" spans="1:12" ht="15">
      <c r="A48" s="650">
        <f>+A46+1</f>
        <v>8</v>
      </c>
      <c r="B48" s="53" t="s">
        <v>31</v>
      </c>
      <c r="I48" s="1157">
        <f>+I45+I46</f>
        <v>0</v>
      </c>
      <c r="J48" s="404"/>
      <c r="K48" s="1157">
        <f>+K45+K46</f>
        <v>0</v>
      </c>
      <c r="L48" s="404"/>
    </row>
    <row r="49" spans="1:12" ht="15">
      <c r="A49" s="650"/>
      <c r="I49" s="404"/>
      <c r="J49" s="404"/>
      <c r="K49" s="404"/>
      <c r="L49" s="404"/>
    </row>
    <row r="50" spans="1:12" ht="15">
      <c r="A50" s="650">
        <f>+A48+1</f>
        <v>9</v>
      </c>
      <c r="B50" s="314" t="s">
        <v>43</v>
      </c>
      <c r="C50" s="373"/>
      <c r="D50" s="61"/>
      <c r="E50" s="53"/>
    </row>
    <row r="51" spans="1:12" ht="15">
      <c r="A51" s="650">
        <f>+A50+1</f>
        <v>10</v>
      </c>
      <c r="B51" s="314" t="s">
        <v>44</v>
      </c>
      <c r="C51" s="373"/>
      <c r="D51" s="61"/>
      <c r="E51" s="1158">
        <v>0</v>
      </c>
      <c r="F51" s="276" t="s">
        <v>1</v>
      </c>
    </row>
    <row r="52" spans="1:12" ht="15">
      <c r="A52" s="650">
        <f>+A51+1</f>
        <v>11</v>
      </c>
      <c r="B52" s="314" t="s">
        <v>45</v>
      </c>
      <c r="C52" s="373"/>
      <c r="D52" s="61"/>
      <c r="E52" s="1158">
        <v>0</v>
      </c>
      <c r="F52" s="276" t="s">
        <v>1</v>
      </c>
    </row>
    <row r="53" spans="1:12" ht="15">
      <c r="A53" s="650">
        <f>+A52+1</f>
        <v>12</v>
      </c>
      <c r="B53" s="314" t="s">
        <v>46</v>
      </c>
      <c r="C53" s="373" t="str">
        <f>"(ln "&amp;A51&amp;" / ln "&amp;A52&amp;")"</f>
        <v>(ln 10 / ln 11)</v>
      </c>
      <c r="D53" s="61"/>
      <c r="E53" s="1159">
        <f>IF(E52=0,0,E51/E52)</f>
        <v>0</v>
      </c>
    </row>
  </sheetData>
  <mergeCells count="5">
    <mergeCell ref="A2:H2"/>
    <mergeCell ref="A3:H3"/>
    <mergeCell ref="A4:H4"/>
    <mergeCell ref="A5:G5"/>
    <mergeCell ref="I35:K35"/>
  </mergeCells>
  <printOptions horizontalCentered="1"/>
  <pageMargins left="0.25" right="0.25" top="1" bottom="0.25" header="0.25" footer="0.5"/>
  <pageSetup scale="68"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C189"/>
  <sheetViews>
    <sheetView showGridLines="0" zoomScale="81" zoomScaleNormal="81" zoomScaleSheetLayoutView="75" zoomScalePageLayoutView="50" workbookViewId="0">
      <selection activeCell="O26" sqref="O26"/>
    </sheetView>
  </sheetViews>
  <sheetFormatPr defaultColWidth="9.28515625" defaultRowHeight="12.75"/>
  <cols>
    <col min="1" max="1" width="7.28515625" style="1818" customWidth="1"/>
    <col min="2" max="2" width="1.7109375" style="1811" customWidth="1"/>
    <col min="3" max="3" width="77" style="1811" customWidth="1"/>
    <col min="4" max="4" width="1.7109375" style="1811" customWidth="1"/>
    <col min="5" max="5" width="20.42578125" style="1812" customWidth="1"/>
    <col min="6" max="6" width="1.7109375" style="1813" customWidth="1"/>
    <col min="7" max="7" width="20" style="1813" bestFit="1" customWidth="1"/>
    <col min="8" max="8" width="1.7109375" style="1813" customWidth="1"/>
    <col min="9" max="9" width="21.42578125" style="1813" customWidth="1"/>
    <col min="10" max="10" width="1.7109375" style="1813" customWidth="1"/>
    <col min="11" max="11" width="17.7109375" style="1813" bestFit="1" customWidth="1"/>
    <col min="12" max="12" width="3.42578125" style="1813" customWidth="1"/>
    <col min="13" max="13" width="21.28515625" style="1813" bestFit="1" customWidth="1"/>
    <col min="14" max="14" width="1.7109375" style="1813" hidden="1" customWidth="1"/>
    <col min="15" max="15" width="22.28515625" style="1813" customWidth="1"/>
    <col min="16" max="20" width="9.28515625" style="1813"/>
    <col min="21" max="21" width="13" style="1813" customWidth="1"/>
    <col min="22" max="16384" width="9.28515625" style="1813"/>
  </cols>
  <sheetData>
    <row r="1" spans="1:29" ht="15">
      <c r="A1" s="1160"/>
    </row>
    <row r="2" spans="1:29" ht="18.75" customHeight="1">
      <c r="A2" s="2192" t="str">
        <f>+'SWT TCOS'!F4</f>
        <v xml:space="preserve">AEP West SPP Member Transmission Companies </v>
      </c>
      <c r="B2" s="2192"/>
      <c r="C2" s="2192"/>
      <c r="D2" s="2192"/>
      <c r="E2" s="2192"/>
      <c r="F2" s="2192"/>
      <c r="G2" s="2192"/>
      <c r="H2" s="2192"/>
      <c r="I2" s="2192"/>
      <c r="J2" s="2192"/>
      <c r="K2" s="2192"/>
      <c r="L2" s="2192"/>
      <c r="M2" s="2192"/>
    </row>
    <row r="3" spans="1:29" ht="18.75" customHeight="1">
      <c r="A3" s="2302" t="str">
        <f>+'SWT WS A-1 - Plant'!A3</f>
        <v xml:space="preserve">Actual / Projected 2022 Rate Year Cost of Service Formula Rate </v>
      </c>
      <c r="B3" s="2302"/>
      <c r="C3" s="2302"/>
      <c r="D3" s="2302"/>
      <c r="E3" s="2302"/>
      <c r="F3" s="2302"/>
      <c r="G3" s="2302"/>
      <c r="H3" s="2302"/>
      <c r="I3" s="2302"/>
      <c r="J3" s="2302"/>
      <c r="K3" s="2302"/>
      <c r="L3" s="2302"/>
      <c r="M3" s="2302"/>
    </row>
    <row r="4" spans="1:29" ht="18.75" customHeight="1">
      <c r="A4" s="2303" t="s">
        <v>115</v>
      </c>
      <c r="B4" s="2302"/>
      <c r="C4" s="2302"/>
      <c r="D4" s="2302"/>
      <c r="E4" s="2302"/>
      <c r="F4" s="2302"/>
      <c r="G4" s="2302"/>
      <c r="H4" s="2302"/>
      <c r="I4" s="2302"/>
      <c r="J4" s="2302"/>
      <c r="K4" s="2302"/>
      <c r="L4" s="2302"/>
      <c r="M4" s="2302"/>
    </row>
    <row r="5" spans="1:29" ht="18" customHeight="1">
      <c r="A5" s="2193" t="str">
        <f>+'SWT TCOS'!F8</f>
        <v>AEP SOUTHWESTERN TRANSMISSION COMPANY</v>
      </c>
      <c r="B5" s="2193"/>
      <c r="C5" s="2193"/>
      <c r="D5" s="2193"/>
      <c r="E5" s="2193"/>
      <c r="F5" s="2193"/>
      <c r="G5" s="2193"/>
      <c r="H5" s="2193"/>
      <c r="I5" s="2193"/>
      <c r="J5" s="2193"/>
      <c r="K5" s="2193"/>
      <c r="L5" s="2193"/>
      <c r="M5" s="2193"/>
    </row>
    <row r="6" spans="1:29" ht="18" customHeight="1">
      <c r="A6" s="2267"/>
      <c r="B6" s="2267"/>
      <c r="C6" s="2267"/>
      <c r="D6" s="2267"/>
      <c r="E6" s="2267"/>
      <c r="F6" s="2267"/>
      <c r="G6" s="2267"/>
      <c r="H6" s="2267"/>
      <c r="I6" s="2267"/>
      <c r="J6" s="2267"/>
      <c r="K6" s="2267"/>
      <c r="L6" s="2267"/>
      <c r="M6" s="2267"/>
    </row>
    <row r="7" spans="1:29" ht="18" customHeight="1">
      <c r="A7" s="2266"/>
      <c r="B7" s="2266"/>
      <c r="C7" s="2266"/>
      <c r="D7" s="2266"/>
      <c r="E7" s="2266"/>
      <c r="F7" s="2266"/>
      <c r="G7" s="2266"/>
      <c r="H7" s="2266"/>
      <c r="I7" s="2266"/>
      <c r="J7" s="2266"/>
      <c r="K7" s="2266"/>
      <c r="L7" s="2266"/>
      <c r="M7" s="2266"/>
    </row>
    <row r="8" spans="1:29" ht="18" customHeight="1">
      <c r="A8" s="923"/>
      <c r="B8" s="923"/>
      <c r="C8" s="923"/>
      <c r="D8" s="923"/>
      <c r="E8" s="923"/>
      <c r="F8" s="923"/>
      <c r="G8" s="923"/>
      <c r="H8" s="923"/>
      <c r="I8" s="923"/>
      <c r="J8" s="923"/>
      <c r="K8" s="923"/>
      <c r="L8" s="923"/>
      <c r="M8" s="923"/>
    </row>
    <row r="9" spans="1:29" ht="19.5" customHeight="1">
      <c r="A9" s="1164"/>
      <c r="B9" s="1165"/>
      <c r="C9" s="534" t="s">
        <v>298</v>
      </c>
      <c r="E9" s="534" t="s">
        <v>299</v>
      </c>
      <c r="G9" s="534" t="s">
        <v>300</v>
      </c>
      <c r="I9" s="534" t="s">
        <v>301</v>
      </c>
      <c r="K9" s="534" t="s">
        <v>226</v>
      </c>
      <c r="M9" s="534" t="s">
        <v>227</v>
      </c>
    </row>
    <row r="10" spans="1:29" ht="18">
      <c r="A10" s="1166"/>
      <c r="B10" s="1167"/>
      <c r="C10" s="1167"/>
      <c r="D10" s="1167"/>
      <c r="E10" s="276"/>
      <c r="F10" s="276"/>
      <c r="G10" s="276"/>
      <c r="H10" s="276"/>
      <c r="I10" s="276"/>
      <c r="J10" s="276"/>
      <c r="K10" s="276"/>
      <c r="L10" s="276"/>
      <c r="M10" s="276"/>
      <c r="Q10" s="650"/>
      <c r="R10" s="650"/>
      <c r="S10" s="650"/>
      <c r="T10" s="650"/>
      <c r="U10" s="650"/>
      <c r="V10" s="650"/>
      <c r="W10" s="650"/>
      <c r="X10" s="650"/>
      <c r="Y10" s="650"/>
      <c r="Z10" s="650"/>
      <c r="AA10" s="650"/>
      <c r="AB10" s="650"/>
      <c r="AC10" s="650"/>
    </row>
    <row r="11" spans="1:29" ht="19.5">
      <c r="A11" s="1166" t="s">
        <v>305</v>
      </c>
      <c r="B11" s="1167"/>
      <c r="C11" s="1167"/>
      <c r="D11" s="1167"/>
      <c r="E11" s="1168" t="s">
        <v>255</v>
      </c>
      <c r="F11" s="1166"/>
      <c r="G11" s="1166"/>
      <c r="H11" s="1166"/>
      <c r="I11" s="1166"/>
      <c r="J11" s="1166"/>
      <c r="K11" s="1169"/>
      <c r="L11" s="1169"/>
      <c r="M11" s="1170"/>
    </row>
    <row r="12" spans="1:29" ht="19.5">
      <c r="A12" s="1171" t="s">
        <v>254</v>
      </c>
      <c r="B12" s="1167"/>
      <c r="C12" s="1171" t="s">
        <v>387</v>
      </c>
      <c r="D12" s="1167"/>
      <c r="E12" s="1172" t="s">
        <v>317</v>
      </c>
      <c r="F12" s="1166"/>
      <c r="G12" s="1171" t="s">
        <v>388</v>
      </c>
      <c r="H12" s="1166"/>
      <c r="I12" s="1171" t="s">
        <v>297</v>
      </c>
      <c r="J12" s="1166"/>
      <c r="K12" s="1173" t="s">
        <v>315</v>
      </c>
      <c r="L12" s="1174"/>
      <c r="M12" s="1173" t="s">
        <v>389</v>
      </c>
    </row>
    <row r="13" spans="1:29" ht="19.5">
      <c r="A13" s="1175"/>
      <c r="B13" s="1165"/>
      <c r="C13" s="1176"/>
      <c r="D13" s="1176"/>
      <c r="E13" s="1176"/>
      <c r="F13" s="1176"/>
      <c r="G13" s="1176"/>
      <c r="H13" s="1176"/>
      <c r="I13" s="1176"/>
      <c r="J13" s="1176"/>
      <c r="K13" s="1177"/>
      <c r="L13" s="1177"/>
    </row>
    <row r="14" spans="1:29" ht="19.5">
      <c r="A14" s="1164"/>
      <c r="B14" s="1165"/>
      <c r="C14" s="1178"/>
      <c r="D14" s="1165"/>
      <c r="E14" s="1179"/>
      <c r="F14" s="1180"/>
      <c r="G14" s="1180"/>
      <c r="H14" s="1180"/>
      <c r="I14" s="1179"/>
      <c r="J14" s="1180"/>
      <c r="K14" s="1177"/>
      <c r="L14" s="1177"/>
    </row>
    <row r="15" spans="1:29" ht="19.5">
      <c r="A15" s="1164">
        <v>1</v>
      </c>
      <c r="B15" s="1165"/>
      <c r="C15" s="1181" t="s">
        <v>392</v>
      </c>
      <c r="D15" s="1165"/>
      <c r="E15" s="1177"/>
      <c r="F15" s="1177"/>
      <c r="G15" s="1182"/>
      <c r="H15" s="1182"/>
      <c r="I15" s="1182"/>
      <c r="J15" s="1182"/>
      <c r="K15" s="1182"/>
      <c r="L15" s="1182"/>
      <c r="M15" s="1182"/>
    </row>
    <row r="16" spans="1:29" ht="19.5">
      <c r="A16" s="1164">
        <f>+A15+1</f>
        <v>2</v>
      </c>
      <c r="B16" s="1165"/>
      <c r="C16" s="1814"/>
      <c r="D16" s="1165"/>
      <c r="E16" s="1814"/>
      <c r="F16" s="1177"/>
      <c r="G16" s="1814"/>
      <c r="H16" s="1814"/>
      <c r="I16" s="1814"/>
      <c r="J16" s="1814"/>
      <c r="K16" s="1814"/>
      <c r="L16" s="1814"/>
      <c r="M16" s="1814">
        <f>+E16</f>
        <v>0</v>
      </c>
    </row>
    <row r="17" spans="1:25" ht="19.5">
      <c r="A17" s="1164">
        <f>+A16+1</f>
        <v>3</v>
      </c>
      <c r="B17" s="1165"/>
      <c r="C17" s="1814"/>
      <c r="D17" s="1165"/>
      <c r="E17" s="1814"/>
      <c r="F17" s="1177"/>
      <c r="G17" s="1814"/>
      <c r="H17" s="1814"/>
      <c r="I17" s="1814"/>
      <c r="J17" s="1814"/>
      <c r="K17" s="1814"/>
      <c r="L17" s="1814"/>
      <c r="M17" s="1814"/>
    </row>
    <row r="18" spans="1:25" ht="19.5">
      <c r="A18" s="1164"/>
      <c r="B18" s="1165"/>
      <c r="C18" s="1169"/>
      <c r="D18" s="1165"/>
      <c r="E18" s="1184"/>
      <c r="F18" s="1177"/>
      <c r="G18" s="1184"/>
      <c r="H18" s="1184"/>
      <c r="I18" s="1184"/>
      <c r="J18" s="1184"/>
      <c r="K18" s="1184"/>
      <c r="L18" s="1184"/>
      <c r="M18" s="1184"/>
      <c r="O18" s="1815"/>
    </row>
    <row r="19" spans="1:25" ht="19.5">
      <c r="A19" s="1164">
        <f>+A17+1</f>
        <v>4</v>
      </c>
      <c r="B19" s="1165"/>
      <c r="C19" s="1181" t="s">
        <v>393</v>
      </c>
      <c r="D19" s="1165"/>
      <c r="E19" s="1814"/>
      <c r="F19" s="1177"/>
      <c r="G19" s="1814"/>
      <c r="H19" s="1814"/>
      <c r="I19" s="1814"/>
      <c r="J19" s="1814"/>
      <c r="K19" s="1814"/>
      <c r="L19" s="1814"/>
      <c r="M19" s="1814"/>
      <c r="O19" s="131"/>
    </row>
    <row r="20" spans="1:25" ht="18">
      <c r="A20" s="1164">
        <f>+A19+1</f>
        <v>5</v>
      </c>
      <c r="B20" s="1165"/>
      <c r="C20" s="1814"/>
      <c r="D20" s="1165"/>
      <c r="E20" s="1814"/>
      <c r="F20" s="1180"/>
      <c r="G20" s="1814">
        <f>+E20</f>
        <v>0</v>
      </c>
      <c r="H20" s="1814"/>
      <c r="I20" s="1814"/>
      <c r="J20" s="1814"/>
      <c r="K20" s="1814"/>
      <c r="L20" s="1814"/>
      <c r="M20" s="1814"/>
      <c r="O20" s="131"/>
      <c r="P20" s="276"/>
      <c r="Q20" s="276"/>
      <c r="R20" s="276"/>
      <c r="S20" s="276"/>
      <c r="T20" s="276"/>
      <c r="U20" s="276"/>
      <c r="V20" s="276"/>
      <c r="W20" s="276"/>
      <c r="X20" s="276"/>
      <c r="Y20" s="276"/>
    </row>
    <row r="21" spans="1:25" ht="19.5">
      <c r="A21" s="1164">
        <f>+A20+1</f>
        <v>6</v>
      </c>
      <c r="B21" s="1165"/>
      <c r="C21" s="1814"/>
      <c r="D21" s="1165"/>
      <c r="E21" s="1814"/>
      <c r="F21" s="1177"/>
      <c r="G21" s="1814">
        <f>+E21</f>
        <v>0</v>
      </c>
      <c r="H21" s="1814"/>
      <c r="I21" s="1814"/>
      <c r="J21" s="1814"/>
      <c r="K21" s="1814"/>
      <c r="L21" s="1814"/>
      <c r="M21" s="1814"/>
      <c r="O21" s="131"/>
      <c r="P21" s="276"/>
      <c r="Q21" s="276"/>
      <c r="R21" s="276"/>
      <c r="S21" s="276"/>
      <c r="T21" s="276"/>
      <c r="U21" s="276"/>
      <c r="V21" s="276"/>
      <c r="W21" s="276"/>
      <c r="X21" s="276"/>
      <c r="Y21" s="276"/>
    </row>
    <row r="22" spans="1:25" ht="18">
      <c r="A22" s="1164">
        <f>+A21+1</f>
        <v>7</v>
      </c>
      <c r="B22" s="1165"/>
      <c r="C22" s="1816"/>
      <c r="D22" s="1165"/>
      <c r="E22" s="1816"/>
      <c r="F22" s="1180"/>
      <c r="G22" s="1814"/>
      <c r="H22" s="1814"/>
      <c r="I22" s="1814"/>
      <c r="J22" s="1814"/>
      <c r="K22" s="1814"/>
      <c r="L22" s="1814"/>
      <c r="M22" s="1816"/>
      <c r="O22" s="131"/>
      <c r="P22" s="276"/>
      <c r="Q22" s="276"/>
      <c r="R22" s="276"/>
      <c r="S22" s="276"/>
      <c r="T22" s="276"/>
      <c r="U22" s="276"/>
      <c r="V22" s="276"/>
      <c r="W22" s="276"/>
      <c r="X22" s="276"/>
      <c r="Y22" s="276"/>
    </row>
    <row r="23" spans="1:25" ht="19.5">
      <c r="A23" s="1164">
        <f>+A22+1</f>
        <v>8</v>
      </c>
      <c r="B23" s="1165"/>
      <c r="C23" s="1814"/>
      <c r="D23" s="1165"/>
      <c r="E23" s="1814"/>
      <c r="F23" s="1177"/>
      <c r="G23" s="1814"/>
      <c r="H23" s="1814"/>
      <c r="I23" s="1814"/>
      <c r="J23" s="1814"/>
      <c r="K23" s="1814"/>
      <c r="L23" s="1814"/>
      <c r="M23" s="1814"/>
      <c r="O23" s="131"/>
      <c r="P23" s="276"/>
      <c r="Q23" s="276"/>
      <c r="R23" s="276"/>
      <c r="S23" s="276"/>
      <c r="T23" s="276"/>
      <c r="U23" s="276"/>
      <c r="V23" s="276"/>
      <c r="W23" s="276"/>
      <c r="X23" s="276"/>
      <c r="Y23" s="276"/>
    </row>
    <row r="24" spans="1:25" ht="19.5">
      <c r="A24" s="1164">
        <f>+A23+1</f>
        <v>9</v>
      </c>
      <c r="B24" s="1165"/>
      <c r="C24" s="1814"/>
      <c r="D24" s="1165"/>
      <c r="E24" s="1814"/>
      <c r="F24" s="1177"/>
      <c r="G24" s="1814"/>
      <c r="H24" s="1814"/>
      <c r="I24" s="1814"/>
      <c r="J24" s="1814"/>
      <c r="K24" s="1814"/>
      <c r="L24" s="1814"/>
      <c r="M24" s="1814">
        <f>+E24</f>
        <v>0</v>
      </c>
      <c r="O24" s="131"/>
      <c r="P24" s="276"/>
      <c r="Q24" s="276"/>
      <c r="R24" s="276"/>
      <c r="S24" s="276"/>
      <c r="T24" s="276"/>
      <c r="U24" s="276"/>
      <c r="V24" s="276"/>
      <c r="W24" s="276"/>
      <c r="X24" s="276"/>
      <c r="Y24" s="276"/>
    </row>
    <row r="25" spans="1:25" ht="19.5">
      <c r="A25" s="1164"/>
      <c r="B25" s="1165"/>
      <c r="C25" s="1169"/>
      <c r="D25" s="1165"/>
      <c r="E25" s="1184"/>
      <c r="F25" s="1177"/>
      <c r="G25" s="1184"/>
      <c r="H25" s="1184"/>
      <c r="I25" s="1184"/>
      <c r="J25" s="1184"/>
      <c r="K25" s="1184"/>
      <c r="L25" s="1184"/>
      <c r="M25" s="1184"/>
      <c r="O25" s="131"/>
      <c r="P25" s="276"/>
      <c r="Q25" s="276"/>
      <c r="R25" s="276"/>
      <c r="S25" s="276"/>
      <c r="T25" s="276"/>
      <c r="U25" s="276"/>
      <c r="V25" s="276"/>
      <c r="W25" s="276"/>
      <c r="X25" s="276"/>
      <c r="Y25" s="276"/>
    </row>
    <row r="26" spans="1:25" ht="19.5">
      <c r="A26" s="1164">
        <f>+A24+1</f>
        <v>10</v>
      </c>
      <c r="B26" s="1165"/>
      <c r="C26" s="1181" t="s">
        <v>394</v>
      </c>
      <c r="D26" s="1165"/>
      <c r="E26" s="1184"/>
      <c r="F26" s="1177"/>
      <c r="G26" s="1184"/>
      <c r="H26" s="1184"/>
      <c r="I26" s="1184"/>
      <c r="J26" s="1184"/>
      <c r="K26" s="1184"/>
      <c r="L26" s="1184"/>
      <c r="M26" s="1184"/>
      <c r="O26" s="276"/>
      <c r="P26" s="276"/>
      <c r="Q26" s="276"/>
      <c r="R26" s="276"/>
      <c r="S26" s="276"/>
      <c r="T26" s="276"/>
      <c r="U26" s="276"/>
      <c r="V26" s="276"/>
      <c r="W26" s="276"/>
      <c r="X26" s="276"/>
      <c r="Y26" s="276"/>
    </row>
    <row r="27" spans="1:25" ht="19.5">
      <c r="A27" s="1164">
        <f>+A26+1</f>
        <v>11</v>
      </c>
      <c r="B27" s="1165"/>
      <c r="C27" s="1814"/>
      <c r="D27" s="1165"/>
      <c r="E27" s="1814"/>
      <c r="F27" s="1177"/>
      <c r="G27" s="1814"/>
      <c r="H27" s="1814"/>
      <c r="I27" s="1814">
        <f>+E27</f>
        <v>0</v>
      </c>
      <c r="J27" s="1814"/>
      <c r="K27" s="1814"/>
      <c r="L27" s="1814"/>
      <c r="M27" s="1814"/>
      <c r="O27" s="276"/>
      <c r="P27" s="276"/>
      <c r="Q27" s="276"/>
      <c r="R27" s="276"/>
      <c r="S27" s="276"/>
      <c r="T27" s="276"/>
      <c r="U27" s="276"/>
      <c r="V27" s="276"/>
      <c r="W27" s="276"/>
      <c r="X27" s="276"/>
      <c r="Y27" s="276"/>
    </row>
    <row r="28" spans="1:25" ht="19.5">
      <c r="A28" s="1164">
        <f>+A27+1</f>
        <v>12</v>
      </c>
      <c r="B28" s="1165"/>
      <c r="C28" s="1814"/>
      <c r="D28" s="1165"/>
      <c r="E28" s="1814"/>
      <c r="F28" s="1177"/>
      <c r="G28" s="1814"/>
      <c r="H28" s="1814"/>
      <c r="I28" s="1814">
        <f>+E28</f>
        <v>0</v>
      </c>
      <c r="J28" s="1814"/>
      <c r="K28" s="1814"/>
      <c r="L28" s="1814"/>
      <c r="M28" s="1814"/>
      <c r="O28" s="276"/>
      <c r="P28" s="276"/>
      <c r="Q28" s="276"/>
      <c r="R28" s="276"/>
      <c r="S28" s="276"/>
      <c r="T28" s="276"/>
      <c r="U28" s="276"/>
      <c r="V28" s="276"/>
      <c r="W28" s="276"/>
      <c r="X28" s="276"/>
      <c r="Y28" s="276"/>
    </row>
    <row r="29" spans="1:25" ht="19.5">
      <c r="A29" s="1164">
        <f>+A28+1</f>
        <v>13</v>
      </c>
      <c r="B29" s="1165"/>
      <c r="C29" s="1814"/>
      <c r="D29" s="1165"/>
      <c r="E29" s="1814"/>
      <c r="F29" s="1177"/>
      <c r="G29" s="1814"/>
      <c r="H29" s="1814"/>
      <c r="I29" s="1814">
        <f>+E29</f>
        <v>0</v>
      </c>
      <c r="J29" s="1814"/>
      <c r="K29" s="1814"/>
      <c r="L29" s="1814"/>
      <c r="M29" s="1814"/>
      <c r="O29" s="276"/>
      <c r="P29" s="276"/>
      <c r="Q29" s="276"/>
      <c r="R29" s="276"/>
      <c r="S29" s="276"/>
      <c r="T29" s="276"/>
      <c r="U29" s="276"/>
      <c r="V29" s="276"/>
      <c r="W29" s="276"/>
      <c r="X29" s="276"/>
      <c r="Y29" s="276"/>
    </row>
    <row r="30" spans="1:25" ht="18">
      <c r="A30" s="1164">
        <f>+A29+1</f>
        <v>14</v>
      </c>
      <c r="B30" s="1165"/>
      <c r="C30" s="1816"/>
      <c r="D30" s="1165"/>
      <c r="E30" s="1816"/>
      <c r="F30" s="1180"/>
      <c r="G30" s="1814"/>
      <c r="H30" s="1814"/>
      <c r="I30" s="1814"/>
      <c r="J30" s="1814"/>
      <c r="K30" s="1814"/>
      <c r="L30" s="1814"/>
      <c r="M30" s="1816"/>
      <c r="O30" s="276"/>
      <c r="P30" s="276"/>
      <c r="Q30" s="276"/>
      <c r="R30" s="276"/>
      <c r="S30" s="276"/>
      <c r="T30" s="276"/>
      <c r="U30" s="276"/>
      <c r="V30" s="276"/>
      <c r="W30" s="276"/>
      <c r="X30" s="276"/>
      <c r="Y30" s="276"/>
    </row>
    <row r="31" spans="1:25" ht="19.5">
      <c r="A31" s="1164" t="s">
        <v>251</v>
      </c>
      <c r="B31" s="1165"/>
      <c r="C31" s="1177"/>
      <c r="D31" s="1165"/>
      <c r="E31" s="1184"/>
      <c r="F31" s="1177"/>
      <c r="G31" s="1184"/>
      <c r="H31" s="1184"/>
      <c r="I31" s="1184"/>
      <c r="J31" s="1184"/>
      <c r="K31" s="1184"/>
      <c r="L31" s="1184"/>
      <c r="M31" s="1184"/>
      <c r="O31" s="276"/>
      <c r="P31" s="276"/>
      <c r="Q31" s="276"/>
      <c r="R31" s="276"/>
      <c r="S31" s="276"/>
      <c r="T31" s="276"/>
      <c r="U31" s="276"/>
      <c r="V31" s="276"/>
      <c r="W31" s="276"/>
      <c r="X31" s="276"/>
      <c r="Y31" s="276"/>
    </row>
    <row r="32" spans="1:25" ht="19.5">
      <c r="A32" s="1164">
        <f>+A30+1</f>
        <v>15</v>
      </c>
      <c r="B32" s="1165"/>
      <c r="C32" s="1181" t="s">
        <v>62</v>
      </c>
      <c r="D32" s="1165"/>
      <c r="E32" s="1184"/>
      <c r="F32" s="1177"/>
      <c r="G32" s="1184"/>
      <c r="H32" s="1184"/>
      <c r="I32" s="1184"/>
      <c r="J32" s="1184"/>
      <c r="K32" s="1184"/>
      <c r="L32" s="1184"/>
      <c r="M32" s="1184"/>
      <c r="O32" s="276"/>
      <c r="P32" s="276"/>
      <c r="Q32" s="276"/>
      <c r="R32" s="276"/>
      <c r="S32" s="276"/>
      <c r="T32" s="276"/>
      <c r="U32" s="276"/>
      <c r="V32" s="276"/>
      <c r="W32" s="276"/>
      <c r="X32" s="276"/>
      <c r="Y32" s="276"/>
    </row>
    <row r="33" spans="1:25" ht="19.5">
      <c r="A33" s="1164">
        <f>A32+1</f>
        <v>16</v>
      </c>
      <c r="B33" s="1165"/>
      <c r="C33" s="569"/>
      <c r="D33" s="1165"/>
      <c r="E33" s="1814"/>
      <c r="F33" s="1177"/>
      <c r="G33" s="1814"/>
      <c r="H33" s="1814"/>
      <c r="I33" s="1814"/>
      <c r="J33" s="1814"/>
      <c r="K33" s="1814"/>
      <c r="L33" s="1814"/>
      <c r="M33" s="1814">
        <f>+E33</f>
        <v>0</v>
      </c>
      <c r="O33" s="276"/>
      <c r="P33" s="276"/>
      <c r="Q33" s="276"/>
      <c r="R33" s="276"/>
      <c r="S33" s="276"/>
      <c r="T33" s="276"/>
      <c r="U33" s="276"/>
      <c r="V33" s="276"/>
      <c r="W33" s="276"/>
      <c r="X33" s="276"/>
      <c r="Y33" s="276"/>
    </row>
    <row r="34" spans="1:25" ht="19.5">
      <c r="A34" s="1164">
        <f>A33+1</f>
        <v>17</v>
      </c>
      <c r="B34" s="1165"/>
      <c r="C34" s="569"/>
      <c r="D34" s="1165"/>
      <c r="E34" s="1814"/>
      <c r="F34" s="1177"/>
      <c r="G34" s="1814"/>
      <c r="H34" s="1814"/>
      <c r="I34" s="1814"/>
      <c r="J34" s="1814"/>
      <c r="K34" s="1814"/>
      <c r="L34" s="1814"/>
      <c r="M34" s="1814"/>
      <c r="O34" s="276"/>
      <c r="P34" s="276"/>
      <c r="Q34" s="276"/>
      <c r="R34" s="276"/>
      <c r="S34" s="276"/>
      <c r="T34" s="276"/>
      <c r="U34" s="276"/>
      <c r="V34" s="276"/>
      <c r="W34" s="276"/>
      <c r="X34" s="276"/>
      <c r="Y34" s="276"/>
    </row>
    <row r="35" spans="1:25" ht="19.5">
      <c r="A35" s="1164">
        <f>+A34+1</f>
        <v>18</v>
      </c>
      <c r="B35" s="1165"/>
      <c r="C35" s="569"/>
      <c r="D35" s="1165"/>
      <c r="E35" s="1814"/>
      <c r="F35" s="1177"/>
      <c r="G35" s="1814"/>
      <c r="H35" s="1814"/>
      <c r="I35" s="1814"/>
      <c r="J35" s="1814"/>
      <c r="K35" s="1814"/>
      <c r="L35" s="1814"/>
      <c r="M35" s="1814"/>
      <c r="O35" s="276"/>
      <c r="P35" s="276"/>
      <c r="Q35" s="276"/>
      <c r="R35" s="276"/>
      <c r="S35" s="276"/>
      <c r="T35" s="276"/>
      <c r="U35" s="276"/>
      <c r="V35" s="276"/>
      <c r="W35" s="276"/>
      <c r="X35" s="276"/>
      <c r="Y35" s="276"/>
    </row>
    <row r="36" spans="1:25" ht="19.5">
      <c r="A36" s="1164"/>
      <c r="B36" s="1165"/>
      <c r="C36" s="1177"/>
      <c r="D36" s="1165"/>
      <c r="E36" s="1184"/>
      <c r="F36" s="1177"/>
      <c r="G36" s="1184"/>
      <c r="H36" s="1184"/>
      <c r="I36" s="1184"/>
      <c r="J36" s="1184"/>
      <c r="K36" s="1184"/>
      <c r="L36" s="1184"/>
      <c r="M36" s="1184"/>
      <c r="O36" s="276"/>
      <c r="P36" s="276"/>
      <c r="Q36" s="276"/>
      <c r="R36" s="276"/>
      <c r="S36" s="276"/>
      <c r="T36" s="276"/>
      <c r="U36" s="276"/>
      <c r="V36" s="276"/>
      <c r="W36" s="276"/>
      <c r="X36" s="276"/>
      <c r="Y36" s="276"/>
    </row>
    <row r="37" spans="1:25" ht="19.5">
      <c r="A37" s="1188">
        <f>+A35+1</f>
        <v>19</v>
      </c>
      <c r="B37" s="1189"/>
      <c r="C37" s="1181" t="s">
        <v>391</v>
      </c>
      <c r="D37" s="1190"/>
      <c r="E37" s="1184"/>
      <c r="F37" s="1177"/>
      <c r="G37" s="1184"/>
      <c r="H37" s="1184"/>
      <c r="I37" s="1184"/>
      <c r="J37" s="1184"/>
      <c r="K37" s="1184"/>
      <c r="L37" s="1184"/>
      <c r="M37" s="1184"/>
    </row>
    <row r="38" spans="1:25" ht="19.5">
      <c r="A38" s="1188">
        <f t="shared" ref="A38:A47" si="0">A37+1</f>
        <v>20</v>
      </c>
      <c r="B38" s="1189"/>
      <c r="C38" s="1191" t="s">
        <v>967</v>
      </c>
      <c r="D38" s="1165"/>
      <c r="E38" s="1814">
        <v>0</v>
      </c>
      <c r="F38" s="1177"/>
      <c r="G38" s="1814"/>
      <c r="H38" s="1814"/>
      <c r="I38" s="1814"/>
      <c r="J38" s="1814"/>
      <c r="K38" s="1814"/>
      <c r="L38" s="1814"/>
      <c r="M38" s="1814">
        <f>+E38</f>
        <v>0</v>
      </c>
    </row>
    <row r="39" spans="1:25" ht="19.5">
      <c r="A39" s="1188">
        <f t="shared" si="0"/>
        <v>21</v>
      </c>
      <c r="B39" s="1189"/>
      <c r="C39" s="1191"/>
      <c r="D39" s="1165"/>
      <c r="E39" s="1814"/>
      <c r="F39" s="1177"/>
      <c r="G39" s="1814"/>
      <c r="H39" s="1814"/>
      <c r="I39" s="1814"/>
      <c r="J39" s="1814"/>
      <c r="K39" s="1814">
        <f t="shared" ref="K39:K44" si="1">+E39</f>
        <v>0</v>
      </c>
      <c r="L39" s="1814"/>
      <c r="M39" s="1814"/>
      <c r="O39" s="131"/>
    </row>
    <row r="40" spans="1:25" ht="19.5">
      <c r="A40" s="1188">
        <f t="shared" si="0"/>
        <v>22</v>
      </c>
      <c r="B40" s="1189"/>
      <c r="C40" s="1191"/>
      <c r="D40" s="1165"/>
      <c r="E40" s="1814"/>
      <c r="F40" s="1177"/>
      <c r="G40" s="1814"/>
      <c r="H40" s="1814"/>
      <c r="I40" s="1814"/>
      <c r="J40" s="1814"/>
      <c r="K40" s="1814">
        <f t="shared" si="1"/>
        <v>0</v>
      </c>
      <c r="L40" s="1814"/>
      <c r="M40" s="1814"/>
      <c r="O40" s="131"/>
    </row>
    <row r="41" spans="1:25" ht="19.5">
      <c r="A41" s="1188">
        <f t="shared" si="0"/>
        <v>23</v>
      </c>
      <c r="B41" s="1189"/>
      <c r="C41" s="1186"/>
      <c r="D41" s="1165"/>
      <c r="E41" s="1814"/>
      <c r="F41" s="1177"/>
      <c r="G41" s="1814"/>
      <c r="H41" s="1814"/>
      <c r="I41" s="1814"/>
      <c r="J41" s="1814"/>
      <c r="K41" s="1814">
        <f t="shared" si="1"/>
        <v>0</v>
      </c>
      <c r="L41" s="1814"/>
      <c r="M41" s="1814"/>
      <c r="O41" s="131"/>
    </row>
    <row r="42" spans="1:25" ht="19.5">
      <c r="A42" s="1188">
        <f t="shared" si="0"/>
        <v>24</v>
      </c>
      <c r="B42" s="1189"/>
      <c r="C42" s="1186"/>
      <c r="D42" s="1165"/>
      <c r="E42" s="1814"/>
      <c r="F42" s="1177"/>
      <c r="G42" s="1814"/>
      <c r="H42" s="1814"/>
      <c r="I42" s="1814"/>
      <c r="J42" s="1814"/>
      <c r="K42" s="1814">
        <f t="shared" si="1"/>
        <v>0</v>
      </c>
      <c r="L42" s="1814"/>
      <c r="M42" s="1814"/>
    </row>
    <row r="43" spans="1:25" ht="19.5">
      <c r="A43" s="1188">
        <f t="shared" si="0"/>
        <v>25</v>
      </c>
      <c r="B43" s="1189"/>
      <c r="C43" s="1186"/>
      <c r="D43" s="1165"/>
      <c r="E43" s="1814"/>
      <c r="F43" s="1177"/>
      <c r="G43" s="1814"/>
      <c r="H43" s="1814"/>
      <c r="I43" s="1814"/>
      <c r="J43" s="1814"/>
      <c r="K43" s="1814">
        <f t="shared" si="1"/>
        <v>0</v>
      </c>
      <c r="L43" s="1814"/>
      <c r="M43" s="1814"/>
    </row>
    <row r="44" spans="1:25" ht="19.5">
      <c r="A44" s="1188">
        <f t="shared" si="0"/>
        <v>26</v>
      </c>
      <c r="B44" s="1189"/>
      <c r="C44" s="1186"/>
      <c r="D44" s="1165"/>
      <c r="E44" s="1814"/>
      <c r="F44" s="1177"/>
      <c r="G44" s="1814"/>
      <c r="H44" s="1814"/>
      <c r="I44" s="1814"/>
      <c r="J44" s="1814"/>
      <c r="K44" s="1814">
        <f t="shared" si="1"/>
        <v>0</v>
      </c>
      <c r="L44" s="1814"/>
      <c r="M44" s="1814"/>
    </row>
    <row r="45" spans="1:25" ht="19.5">
      <c r="A45" s="1188">
        <f t="shared" si="0"/>
        <v>27</v>
      </c>
      <c r="B45" s="1189"/>
      <c r="C45" s="1186"/>
      <c r="D45" s="1165"/>
      <c r="E45" s="1814"/>
      <c r="F45" s="1177"/>
      <c r="G45" s="1814"/>
      <c r="H45" s="1814"/>
      <c r="I45" s="1814"/>
      <c r="J45" s="1814"/>
      <c r="K45" s="1814"/>
      <c r="L45" s="1814"/>
      <c r="M45" s="1814">
        <f>+E45</f>
        <v>0</v>
      </c>
      <c r="O45" s="131"/>
    </row>
    <row r="46" spans="1:25" ht="19.5">
      <c r="A46" s="1188">
        <f t="shared" si="0"/>
        <v>28</v>
      </c>
      <c r="B46" s="1165"/>
      <c r="C46" s="1186"/>
      <c r="D46" s="1165"/>
      <c r="E46" s="1814"/>
      <c r="F46" s="1177"/>
      <c r="G46" s="1814"/>
      <c r="H46" s="1814"/>
      <c r="I46" s="1814"/>
      <c r="J46" s="1814"/>
      <c r="K46" s="1814"/>
      <c r="L46" s="1814"/>
      <c r="M46" s="1814">
        <f>+E46</f>
        <v>0</v>
      </c>
      <c r="O46" s="131"/>
    </row>
    <row r="47" spans="1:25" ht="19.5">
      <c r="A47" s="1188">
        <f t="shared" si="0"/>
        <v>29</v>
      </c>
      <c r="B47" s="1165"/>
      <c r="C47" s="1186"/>
      <c r="D47" s="1165"/>
      <c r="E47" s="1814"/>
      <c r="F47" s="1177"/>
      <c r="G47" s="1814"/>
      <c r="H47" s="1814"/>
      <c r="I47" s="1814"/>
      <c r="J47" s="1814"/>
      <c r="K47" s="1814"/>
      <c r="L47" s="1814"/>
      <c r="M47" s="1814">
        <f>+E47</f>
        <v>0</v>
      </c>
      <c r="O47" s="131"/>
    </row>
    <row r="48" spans="1:25" ht="19.5">
      <c r="A48" s="1164">
        <f>A47+1</f>
        <v>30</v>
      </c>
      <c r="B48" s="1165"/>
      <c r="C48" s="1186"/>
      <c r="D48" s="1165"/>
      <c r="E48" s="1814"/>
      <c r="F48" s="1177"/>
      <c r="G48" s="1814"/>
      <c r="H48" s="1814"/>
      <c r="I48" s="1814"/>
      <c r="J48" s="1814"/>
      <c r="K48" s="1814">
        <f>+E48</f>
        <v>0</v>
      </c>
      <c r="L48" s="1814"/>
      <c r="M48" s="1814"/>
      <c r="O48" s="131"/>
    </row>
    <row r="49" spans="1:15" ht="19.5">
      <c r="A49" s="1164">
        <f>A48+1</f>
        <v>31</v>
      </c>
      <c r="B49" s="1165"/>
      <c r="C49" s="1186"/>
      <c r="D49" s="1165"/>
      <c r="E49" s="1814"/>
      <c r="F49" s="1177"/>
      <c r="G49" s="1814"/>
      <c r="H49" s="1814"/>
      <c r="I49" s="1814"/>
      <c r="J49" s="1814"/>
      <c r="K49" s="1814">
        <f>+E49</f>
        <v>0</v>
      </c>
      <c r="L49" s="1814"/>
      <c r="M49" s="1814"/>
      <c r="O49" s="131"/>
    </row>
    <row r="50" spans="1:15" ht="19.5">
      <c r="A50" s="1164">
        <f>A49+1</f>
        <v>32</v>
      </c>
      <c r="B50" s="1177"/>
      <c r="C50" s="1814"/>
      <c r="D50" s="1165"/>
      <c r="E50" s="1814"/>
      <c r="F50" s="1177"/>
      <c r="G50" s="1814"/>
      <c r="H50" s="1814"/>
      <c r="I50" s="1814"/>
      <c r="J50" s="1814"/>
      <c r="K50" s="1814">
        <f>+E50</f>
        <v>0</v>
      </c>
      <c r="L50" s="1814"/>
      <c r="M50" s="1814"/>
      <c r="O50" s="131"/>
    </row>
    <row r="51" spans="1:15" ht="19.5">
      <c r="A51" s="1164">
        <f>+A50+1</f>
        <v>33</v>
      </c>
      <c r="B51" s="1177"/>
      <c r="C51" s="1816"/>
      <c r="D51" s="1165"/>
      <c r="E51" s="1816"/>
      <c r="F51" s="1180"/>
      <c r="G51" s="1814"/>
      <c r="H51" s="1814"/>
      <c r="I51" s="1814"/>
      <c r="J51" s="1814"/>
      <c r="K51" s="1814"/>
      <c r="L51" s="1814"/>
      <c r="M51" s="1816"/>
      <c r="O51" s="131"/>
    </row>
    <row r="52" spans="1:15" ht="19.5">
      <c r="A52" s="1164">
        <f>+A51+1</f>
        <v>34</v>
      </c>
      <c r="B52" s="1177"/>
      <c r="C52" s="1814"/>
      <c r="D52" s="1165"/>
      <c r="E52" s="1814"/>
      <c r="F52" s="1177"/>
      <c r="G52" s="1814"/>
      <c r="H52" s="1814"/>
      <c r="I52" s="1814"/>
      <c r="J52" s="1814"/>
      <c r="K52" s="1814"/>
      <c r="L52" s="1814"/>
      <c r="M52" s="1814">
        <f>+E52</f>
        <v>0</v>
      </c>
    </row>
    <row r="53" spans="1:15" ht="19.5">
      <c r="A53" s="276"/>
      <c r="B53" s="276"/>
      <c r="C53" s="276"/>
      <c r="D53" s="276"/>
      <c r="E53" s="276"/>
      <c r="F53" s="1177"/>
      <c r="H53" s="1192"/>
      <c r="I53" s="1193"/>
      <c r="J53" s="1193"/>
      <c r="K53" s="1194"/>
      <c r="L53" s="1195"/>
      <c r="M53" s="1195"/>
    </row>
    <row r="54" spans="1:15" ht="20.25" thickBot="1">
      <c r="A54" s="1188">
        <f>+A52+1</f>
        <v>35</v>
      </c>
      <c r="B54" s="276"/>
      <c r="C54" s="1177" t="s">
        <v>390</v>
      </c>
      <c r="D54" s="276"/>
      <c r="E54" s="1196">
        <f>SUM(E16:E52)</f>
        <v>0</v>
      </c>
      <c r="F54" s="1177"/>
      <c r="G54" s="1196">
        <f>SUM(G16:G52)</f>
        <v>0</v>
      </c>
      <c r="H54" s="1192"/>
      <c r="I54" s="1196">
        <f>SUM(I16:I52)</f>
        <v>0</v>
      </c>
      <c r="J54" s="1193"/>
      <c r="K54" s="1196">
        <f>SUM(K16:K52)</f>
        <v>0</v>
      </c>
      <c r="L54" s="1195"/>
      <c r="M54" s="1196">
        <f>SUM(M16:M52)</f>
        <v>0</v>
      </c>
      <c r="O54"/>
    </row>
    <row r="55" spans="1:15" ht="30" customHeight="1" thickTop="1">
      <c r="A55" s="276"/>
      <c r="B55" s="276"/>
      <c r="C55" s="1197" t="s">
        <v>137</v>
      </c>
      <c r="D55" s="1817"/>
      <c r="E55" s="1199">
        <v>0</v>
      </c>
      <c r="F55" s="1197"/>
      <c r="G55" s="1200"/>
      <c r="H55" s="1200"/>
      <c r="J55" s="1201"/>
      <c r="K55" s="1202"/>
      <c r="L55" s="1202"/>
      <c r="M55" s="1203" t="str">
        <f>IF(SUM(G54:M54)=E54,"","Error - allocations don’t match total")</f>
        <v/>
      </c>
    </row>
    <row r="57" spans="1:15">
      <c r="C57" s="1205" t="str">
        <f>"NOTE:  As a check, the difference between the total from Ln "&amp;A54&amp;" above and the total on FF1 p.263 line 41(i)"</f>
        <v>NOTE:  As a check, the difference between the total from Ln 35 above and the total on FF1 p.263 line 41(i)</v>
      </c>
    </row>
    <row r="58" spans="1:15">
      <c r="C58" s="1205" t="s">
        <v>117</v>
      </c>
    </row>
    <row r="60" spans="1:15">
      <c r="I60" s="1812"/>
    </row>
    <row r="188" spans="7:7" ht="13.5" thickBot="1"/>
    <row r="189" spans="7:7" ht="20.25" thickBot="1">
      <c r="G189" s="1206" t="e">
        <f>IF(#REF!&lt;&gt;0,+#REF!/#REF!*#REF!,0)</f>
        <v>#REF!</v>
      </c>
    </row>
  </sheetData>
  <mergeCells count="6">
    <mergeCell ref="A7:M7"/>
    <mergeCell ref="A2:M2"/>
    <mergeCell ref="A3:M3"/>
    <mergeCell ref="A4:M4"/>
    <mergeCell ref="A5:M5"/>
    <mergeCell ref="A6:M6"/>
  </mergeCells>
  <printOptions horizontalCentered="1"/>
  <pageMargins left="0.75" right="0.75" top="0.45833333333333298" bottom="0.25" header="0.65" footer="0.5"/>
  <pageSetup scale="12"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W147"/>
  <sheetViews>
    <sheetView zoomScale="90" zoomScaleNormal="90" zoomScaleSheetLayoutView="80" zoomScalePageLayoutView="85" workbookViewId="0">
      <selection activeCell="G54" sqref="G54"/>
    </sheetView>
  </sheetViews>
  <sheetFormatPr defaultColWidth="11.42578125" defaultRowHeight="12.75"/>
  <cols>
    <col min="1" max="1" width="10.28515625" style="1239" customWidth="1"/>
    <col min="2" max="2" width="52.28515625" style="1207" customWidth="1"/>
    <col min="3" max="7" width="20.28515625" style="1207" customWidth="1"/>
    <col min="8" max="8" width="23" style="1207" customWidth="1"/>
    <col min="9" max="11" width="20.28515625" style="1207" customWidth="1"/>
    <col min="12" max="12" width="20" style="1207" customWidth="1"/>
    <col min="13" max="14" width="15.28515625" style="1207" customWidth="1"/>
    <col min="15" max="256" width="11.42578125" style="1207"/>
    <col min="257" max="257" width="10.28515625" style="1207" customWidth="1"/>
    <col min="258" max="258" width="52.28515625" style="1207" customWidth="1"/>
    <col min="259" max="263" width="20.28515625" style="1207" customWidth="1"/>
    <col min="264" max="264" width="23" style="1207" customWidth="1"/>
    <col min="265" max="267" width="20.28515625" style="1207" customWidth="1"/>
    <col min="268" max="268" width="20" style="1207" customWidth="1"/>
    <col min="269" max="270" width="15.28515625" style="1207" customWidth="1"/>
    <col min="271" max="512" width="11.42578125" style="1207"/>
    <col min="513" max="513" width="10.28515625" style="1207" customWidth="1"/>
    <col min="514" max="514" width="52.28515625" style="1207" customWidth="1"/>
    <col min="515" max="519" width="20.28515625" style="1207" customWidth="1"/>
    <col min="520" max="520" width="23" style="1207" customWidth="1"/>
    <col min="521" max="523" width="20.28515625" style="1207" customWidth="1"/>
    <col min="524" max="524" width="20" style="1207" customWidth="1"/>
    <col min="525" max="526" width="15.28515625" style="1207" customWidth="1"/>
    <col min="527" max="768" width="11.42578125" style="1207"/>
    <col min="769" max="769" width="10.28515625" style="1207" customWidth="1"/>
    <col min="770" max="770" width="52.28515625" style="1207" customWidth="1"/>
    <col min="771" max="775" width="20.28515625" style="1207" customWidth="1"/>
    <col min="776" max="776" width="23" style="1207" customWidth="1"/>
    <col min="777" max="779" width="20.28515625" style="1207" customWidth="1"/>
    <col min="780" max="780" width="20" style="1207" customWidth="1"/>
    <col min="781" max="782" width="15.28515625" style="1207" customWidth="1"/>
    <col min="783" max="1024" width="11.42578125" style="1207"/>
    <col min="1025" max="1025" width="10.28515625" style="1207" customWidth="1"/>
    <col min="1026" max="1026" width="52.28515625" style="1207" customWidth="1"/>
    <col min="1027" max="1031" width="20.28515625" style="1207" customWidth="1"/>
    <col min="1032" max="1032" width="23" style="1207" customWidth="1"/>
    <col min="1033" max="1035" width="20.28515625" style="1207" customWidth="1"/>
    <col min="1036" max="1036" width="20" style="1207" customWidth="1"/>
    <col min="1037" max="1038" width="15.28515625" style="1207" customWidth="1"/>
    <col min="1039" max="1280" width="11.42578125" style="1207"/>
    <col min="1281" max="1281" width="10.28515625" style="1207" customWidth="1"/>
    <col min="1282" max="1282" width="52.28515625" style="1207" customWidth="1"/>
    <col min="1283" max="1287" width="20.28515625" style="1207" customWidth="1"/>
    <col min="1288" max="1288" width="23" style="1207" customWidth="1"/>
    <col min="1289" max="1291" width="20.28515625" style="1207" customWidth="1"/>
    <col min="1292" max="1292" width="20" style="1207" customWidth="1"/>
    <col min="1293" max="1294" width="15.28515625" style="1207" customWidth="1"/>
    <col min="1295" max="1536" width="11.42578125" style="1207"/>
    <col min="1537" max="1537" width="10.28515625" style="1207" customWidth="1"/>
    <col min="1538" max="1538" width="52.28515625" style="1207" customWidth="1"/>
    <col min="1539" max="1543" width="20.28515625" style="1207" customWidth="1"/>
    <col min="1544" max="1544" width="23" style="1207" customWidth="1"/>
    <col min="1545" max="1547" width="20.28515625" style="1207" customWidth="1"/>
    <col min="1548" max="1548" width="20" style="1207" customWidth="1"/>
    <col min="1549" max="1550" width="15.28515625" style="1207" customWidth="1"/>
    <col min="1551" max="1792" width="11.42578125" style="1207"/>
    <col min="1793" max="1793" width="10.28515625" style="1207" customWidth="1"/>
    <col min="1794" max="1794" width="52.28515625" style="1207" customWidth="1"/>
    <col min="1795" max="1799" width="20.28515625" style="1207" customWidth="1"/>
    <col min="1800" max="1800" width="23" style="1207" customWidth="1"/>
    <col min="1801" max="1803" width="20.28515625" style="1207" customWidth="1"/>
    <col min="1804" max="1804" width="20" style="1207" customWidth="1"/>
    <col min="1805" max="1806" width="15.28515625" style="1207" customWidth="1"/>
    <col min="1807" max="2048" width="11.42578125" style="1207"/>
    <col min="2049" max="2049" width="10.28515625" style="1207" customWidth="1"/>
    <col min="2050" max="2050" width="52.28515625" style="1207" customWidth="1"/>
    <col min="2051" max="2055" width="20.28515625" style="1207" customWidth="1"/>
    <col min="2056" max="2056" width="23" style="1207" customWidth="1"/>
    <col min="2057" max="2059" width="20.28515625" style="1207" customWidth="1"/>
    <col min="2060" max="2060" width="20" style="1207" customWidth="1"/>
    <col min="2061" max="2062" width="15.28515625" style="1207" customWidth="1"/>
    <col min="2063" max="2304" width="11.42578125" style="1207"/>
    <col min="2305" max="2305" width="10.28515625" style="1207" customWidth="1"/>
    <col min="2306" max="2306" width="52.28515625" style="1207" customWidth="1"/>
    <col min="2307" max="2311" width="20.28515625" style="1207" customWidth="1"/>
    <col min="2312" max="2312" width="23" style="1207" customWidth="1"/>
    <col min="2313" max="2315" width="20.28515625" style="1207" customWidth="1"/>
    <col min="2316" max="2316" width="20" style="1207" customWidth="1"/>
    <col min="2317" max="2318" width="15.28515625" style="1207" customWidth="1"/>
    <col min="2319" max="2560" width="11.42578125" style="1207"/>
    <col min="2561" max="2561" width="10.28515625" style="1207" customWidth="1"/>
    <col min="2562" max="2562" width="52.28515625" style="1207" customWidth="1"/>
    <col min="2563" max="2567" width="20.28515625" style="1207" customWidth="1"/>
    <col min="2568" max="2568" width="23" style="1207" customWidth="1"/>
    <col min="2569" max="2571" width="20.28515625" style="1207" customWidth="1"/>
    <col min="2572" max="2572" width="20" style="1207" customWidth="1"/>
    <col min="2573" max="2574" width="15.28515625" style="1207" customWidth="1"/>
    <col min="2575" max="2816" width="11.42578125" style="1207"/>
    <col min="2817" max="2817" width="10.28515625" style="1207" customWidth="1"/>
    <col min="2818" max="2818" width="52.28515625" style="1207" customWidth="1"/>
    <col min="2819" max="2823" width="20.28515625" style="1207" customWidth="1"/>
    <col min="2824" max="2824" width="23" style="1207" customWidth="1"/>
    <col min="2825" max="2827" width="20.28515625" style="1207" customWidth="1"/>
    <col min="2828" max="2828" width="20" style="1207" customWidth="1"/>
    <col min="2829" max="2830" width="15.28515625" style="1207" customWidth="1"/>
    <col min="2831" max="3072" width="11.42578125" style="1207"/>
    <col min="3073" max="3073" width="10.28515625" style="1207" customWidth="1"/>
    <col min="3074" max="3074" width="52.28515625" style="1207" customWidth="1"/>
    <col min="3075" max="3079" width="20.28515625" style="1207" customWidth="1"/>
    <col min="3080" max="3080" width="23" style="1207" customWidth="1"/>
    <col min="3081" max="3083" width="20.28515625" style="1207" customWidth="1"/>
    <col min="3084" max="3084" width="20" style="1207" customWidth="1"/>
    <col min="3085" max="3086" width="15.28515625" style="1207" customWidth="1"/>
    <col min="3087" max="3328" width="11.42578125" style="1207"/>
    <col min="3329" max="3329" width="10.28515625" style="1207" customWidth="1"/>
    <col min="3330" max="3330" width="52.28515625" style="1207" customWidth="1"/>
    <col min="3331" max="3335" width="20.28515625" style="1207" customWidth="1"/>
    <col min="3336" max="3336" width="23" style="1207" customWidth="1"/>
    <col min="3337" max="3339" width="20.28515625" style="1207" customWidth="1"/>
    <col min="3340" max="3340" width="20" style="1207" customWidth="1"/>
    <col min="3341" max="3342" width="15.28515625" style="1207" customWidth="1"/>
    <col min="3343" max="3584" width="11.42578125" style="1207"/>
    <col min="3585" max="3585" width="10.28515625" style="1207" customWidth="1"/>
    <col min="3586" max="3586" width="52.28515625" style="1207" customWidth="1"/>
    <col min="3587" max="3591" width="20.28515625" style="1207" customWidth="1"/>
    <col min="3592" max="3592" width="23" style="1207" customWidth="1"/>
    <col min="3593" max="3595" width="20.28515625" style="1207" customWidth="1"/>
    <col min="3596" max="3596" width="20" style="1207" customWidth="1"/>
    <col min="3597" max="3598" width="15.28515625" style="1207" customWidth="1"/>
    <col min="3599" max="3840" width="11.42578125" style="1207"/>
    <col min="3841" max="3841" width="10.28515625" style="1207" customWidth="1"/>
    <col min="3842" max="3842" width="52.28515625" style="1207" customWidth="1"/>
    <col min="3843" max="3847" width="20.28515625" style="1207" customWidth="1"/>
    <col min="3848" max="3848" width="23" style="1207" customWidth="1"/>
    <col min="3849" max="3851" width="20.28515625" style="1207" customWidth="1"/>
    <col min="3852" max="3852" width="20" style="1207" customWidth="1"/>
    <col min="3853" max="3854" width="15.28515625" style="1207" customWidth="1"/>
    <col min="3855" max="4096" width="11.42578125" style="1207"/>
    <col min="4097" max="4097" width="10.28515625" style="1207" customWidth="1"/>
    <col min="4098" max="4098" width="52.28515625" style="1207" customWidth="1"/>
    <col min="4099" max="4103" width="20.28515625" style="1207" customWidth="1"/>
    <col min="4104" max="4104" width="23" style="1207" customWidth="1"/>
    <col min="4105" max="4107" width="20.28515625" style="1207" customWidth="1"/>
    <col min="4108" max="4108" width="20" style="1207" customWidth="1"/>
    <col min="4109" max="4110" width="15.28515625" style="1207" customWidth="1"/>
    <col min="4111" max="4352" width="11.42578125" style="1207"/>
    <col min="4353" max="4353" width="10.28515625" style="1207" customWidth="1"/>
    <col min="4354" max="4354" width="52.28515625" style="1207" customWidth="1"/>
    <col min="4355" max="4359" width="20.28515625" style="1207" customWidth="1"/>
    <col min="4360" max="4360" width="23" style="1207" customWidth="1"/>
    <col min="4361" max="4363" width="20.28515625" style="1207" customWidth="1"/>
    <col min="4364" max="4364" width="20" style="1207" customWidth="1"/>
    <col min="4365" max="4366" width="15.28515625" style="1207" customWidth="1"/>
    <col min="4367" max="4608" width="11.42578125" style="1207"/>
    <col min="4609" max="4609" width="10.28515625" style="1207" customWidth="1"/>
    <col min="4610" max="4610" width="52.28515625" style="1207" customWidth="1"/>
    <col min="4611" max="4615" width="20.28515625" style="1207" customWidth="1"/>
    <col min="4616" max="4616" width="23" style="1207" customWidth="1"/>
    <col min="4617" max="4619" width="20.28515625" style="1207" customWidth="1"/>
    <col min="4620" max="4620" width="20" style="1207" customWidth="1"/>
    <col min="4621" max="4622" width="15.28515625" style="1207" customWidth="1"/>
    <col min="4623" max="4864" width="11.42578125" style="1207"/>
    <col min="4865" max="4865" width="10.28515625" style="1207" customWidth="1"/>
    <col min="4866" max="4866" width="52.28515625" style="1207" customWidth="1"/>
    <col min="4867" max="4871" width="20.28515625" style="1207" customWidth="1"/>
    <col min="4872" max="4872" width="23" style="1207" customWidth="1"/>
    <col min="4873" max="4875" width="20.28515625" style="1207" customWidth="1"/>
    <col min="4876" max="4876" width="20" style="1207" customWidth="1"/>
    <col min="4877" max="4878" width="15.28515625" style="1207" customWidth="1"/>
    <col min="4879" max="5120" width="11.42578125" style="1207"/>
    <col min="5121" max="5121" width="10.28515625" style="1207" customWidth="1"/>
    <col min="5122" max="5122" width="52.28515625" style="1207" customWidth="1"/>
    <col min="5123" max="5127" width="20.28515625" style="1207" customWidth="1"/>
    <col min="5128" max="5128" width="23" style="1207" customWidth="1"/>
    <col min="5129" max="5131" width="20.28515625" style="1207" customWidth="1"/>
    <col min="5132" max="5132" width="20" style="1207" customWidth="1"/>
    <col min="5133" max="5134" width="15.28515625" style="1207" customWidth="1"/>
    <col min="5135" max="5376" width="11.42578125" style="1207"/>
    <col min="5377" max="5377" width="10.28515625" style="1207" customWidth="1"/>
    <col min="5378" max="5378" width="52.28515625" style="1207" customWidth="1"/>
    <col min="5379" max="5383" width="20.28515625" style="1207" customWidth="1"/>
    <col min="5384" max="5384" width="23" style="1207" customWidth="1"/>
    <col min="5385" max="5387" width="20.28515625" style="1207" customWidth="1"/>
    <col min="5388" max="5388" width="20" style="1207" customWidth="1"/>
    <col min="5389" max="5390" width="15.28515625" style="1207" customWidth="1"/>
    <col min="5391" max="5632" width="11.42578125" style="1207"/>
    <col min="5633" max="5633" width="10.28515625" style="1207" customWidth="1"/>
    <col min="5634" max="5634" width="52.28515625" style="1207" customWidth="1"/>
    <col min="5635" max="5639" width="20.28515625" style="1207" customWidth="1"/>
    <col min="5640" max="5640" width="23" style="1207" customWidth="1"/>
    <col min="5641" max="5643" width="20.28515625" style="1207" customWidth="1"/>
    <col min="5644" max="5644" width="20" style="1207" customWidth="1"/>
    <col min="5645" max="5646" width="15.28515625" style="1207" customWidth="1"/>
    <col min="5647" max="5888" width="11.42578125" style="1207"/>
    <col min="5889" max="5889" width="10.28515625" style="1207" customWidth="1"/>
    <col min="5890" max="5890" width="52.28515625" style="1207" customWidth="1"/>
    <col min="5891" max="5895" width="20.28515625" style="1207" customWidth="1"/>
    <col min="5896" max="5896" width="23" style="1207" customWidth="1"/>
    <col min="5897" max="5899" width="20.28515625" style="1207" customWidth="1"/>
    <col min="5900" max="5900" width="20" style="1207" customWidth="1"/>
    <col min="5901" max="5902" width="15.28515625" style="1207" customWidth="1"/>
    <col min="5903" max="6144" width="11.42578125" style="1207"/>
    <col min="6145" max="6145" width="10.28515625" style="1207" customWidth="1"/>
    <col min="6146" max="6146" width="52.28515625" style="1207" customWidth="1"/>
    <col min="6147" max="6151" width="20.28515625" style="1207" customWidth="1"/>
    <col min="6152" max="6152" width="23" style="1207" customWidth="1"/>
    <col min="6153" max="6155" width="20.28515625" style="1207" customWidth="1"/>
    <col min="6156" max="6156" width="20" style="1207" customWidth="1"/>
    <col min="6157" max="6158" width="15.28515625" style="1207" customWidth="1"/>
    <col min="6159" max="6400" width="11.42578125" style="1207"/>
    <col min="6401" max="6401" width="10.28515625" style="1207" customWidth="1"/>
    <col min="6402" max="6402" width="52.28515625" style="1207" customWidth="1"/>
    <col min="6403" max="6407" width="20.28515625" style="1207" customWidth="1"/>
    <col min="6408" max="6408" width="23" style="1207" customWidth="1"/>
    <col min="6409" max="6411" width="20.28515625" style="1207" customWidth="1"/>
    <col min="6412" max="6412" width="20" style="1207" customWidth="1"/>
    <col min="6413" max="6414" width="15.28515625" style="1207" customWidth="1"/>
    <col min="6415" max="6656" width="11.42578125" style="1207"/>
    <col min="6657" max="6657" width="10.28515625" style="1207" customWidth="1"/>
    <col min="6658" max="6658" width="52.28515625" style="1207" customWidth="1"/>
    <col min="6659" max="6663" width="20.28515625" style="1207" customWidth="1"/>
    <col min="6664" max="6664" width="23" style="1207" customWidth="1"/>
    <col min="6665" max="6667" width="20.28515625" style="1207" customWidth="1"/>
    <col min="6668" max="6668" width="20" style="1207" customWidth="1"/>
    <col min="6669" max="6670" width="15.28515625" style="1207" customWidth="1"/>
    <col min="6671" max="6912" width="11.42578125" style="1207"/>
    <col min="6913" max="6913" width="10.28515625" style="1207" customWidth="1"/>
    <col min="6914" max="6914" width="52.28515625" style="1207" customWidth="1"/>
    <col min="6915" max="6919" width="20.28515625" style="1207" customWidth="1"/>
    <col min="6920" max="6920" width="23" style="1207" customWidth="1"/>
    <col min="6921" max="6923" width="20.28515625" style="1207" customWidth="1"/>
    <col min="6924" max="6924" width="20" style="1207" customWidth="1"/>
    <col min="6925" max="6926" width="15.28515625" style="1207" customWidth="1"/>
    <col min="6927" max="7168" width="11.42578125" style="1207"/>
    <col min="7169" max="7169" width="10.28515625" style="1207" customWidth="1"/>
    <col min="7170" max="7170" width="52.28515625" style="1207" customWidth="1"/>
    <col min="7171" max="7175" width="20.28515625" style="1207" customWidth="1"/>
    <col min="7176" max="7176" width="23" style="1207" customWidth="1"/>
    <col min="7177" max="7179" width="20.28515625" style="1207" customWidth="1"/>
    <col min="7180" max="7180" width="20" style="1207" customWidth="1"/>
    <col min="7181" max="7182" width="15.28515625" style="1207" customWidth="1"/>
    <col min="7183" max="7424" width="11.42578125" style="1207"/>
    <col min="7425" max="7425" width="10.28515625" style="1207" customWidth="1"/>
    <col min="7426" max="7426" width="52.28515625" style="1207" customWidth="1"/>
    <col min="7427" max="7431" width="20.28515625" style="1207" customWidth="1"/>
    <col min="7432" max="7432" width="23" style="1207" customWidth="1"/>
    <col min="7433" max="7435" width="20.28515625" style="1207" customWidth="1"/>
    <col min="7436" max="7436" width="20" style="1207" customWidth="1"/>
    <col min="7437" max="7438" width="15.28515625" style="1207" customWidth="1"/>
    <col min="7439" max="7680" width="11.42578125" style="1207"/>
    <col min="7681" max="7681" width="10.28515625" style="1207" customWidth="1"/>
    <col min="7682" max="7682" width="52.28515625" style="1207" customWidth="1"/>
    <col min="7683" max="7687" width="20.28515625" style="1207" customWidth="1"/>
    <col min="7688" max="7688" width="23" style="1207" customWidth="1"/>
    <col min="7689" max="7691" width="20.28515625" style="1207" customWidth="1"/>
    <col min="7692" max="7692" width="20" style="1207" customWidth="1"/>
    <col min="7693" max="7694" width="15.28515625" style="1207" customWidth="1"/>
    <col min="7695" max="7936" width="11.42578125" style="1207"/>
    <col min="7937" max="7937" width="10.28515625" style="1207" customWidth="1"/>
    <col min="7938" max="7938" width="52.28515625" style="1207" customWidth="1"/>
    <col min="7939" max="7943" width="20.28515625" style="1207" customWidth="1"/>
    <col min="7944" max="7944" width="23" style="1207" customWidth="1"/>
    <col min="7945" max="7947" width="20.28515625" style="1207" customWidth="1"/>
    <col min="7948" max="7948" width="20" style="1207" customWidth="1"/>
    <col min="7949" max="7950" width="15.28515625" style="1207" customWidth="1"/>
    <col min="7951" max="8192" width="11.42578125" style="1207"/>
    <col min="8193" max="8193" width="10.28515625" style="1207" customWidth="1"/>
    <col min="8194" max="8194" width="52.28515625" style="1207" customWidth="1"/>
    <col min="8195" max="8199" width="20.28515625" style="1207" customWidth="1"/>
    <col min="8200" max="8200" width="23" style="1207" customWidth="1"/>
    <col min="8201" max="8203" width="20.28515625" style="1207" customWidth="1"/>
    <col min="8204" max="8204" width="20" style="1207" customWidth="1"/>
    <col min="8205" max="8206" width="15.28515625" style="1207" customWidth="1"/>
    <col min="8207" max="8448" width="11.42578125" style="1207"/>
    <col min="8449" max="8449" width="10.28515625" style="1207" customWidth="1"/>
    <col min="8450" max="8450" width="52.28515625" style="1207" customWidth="1"/>
    <col min="8451" max="8455" width="20.28515625" style="1207" customWidth="1"/>
    <col min="8456" max="8456" width="23" style="1207" customWidth="1"/>
    <col min="8457" max="8459" width="20.28515625" style="1207" customWidth="1"/>
    <col min="8460" max="8460" width="20" style="1207" customWidth="1"/>
    <col min="8461" max="8462" width="15.28515625" style="1207" customWidth="1"/>
    <col min="8463" max="8704" width="11.42578125" style="1207"/>
    <col min="8705" max="8705" width="10.28515625" style="1207" customWidth="1"/>
    <col min="8706" max="8706" width="52.28515625" style="1207" customWidth="1"/>
    <col min="8707" max="8711" width="20.28515625" style="1207" customWidth="1"/>
    <col min="8712" max="8712" width="23" style="1207" customWidth="1"/>
    <col min="8713" max="8715" width="20.28515625" style="1207" customWidth="1"/>
    <col min="8716" max="8716" width="20" style="1207" customWidth="1"/>
    <col min="8717" max="8718" width="15.28515625" style="1207" customWidth="1"/>
    <col min="8719" max="8960" width="11.42578125" style="1207"/>
    <col min="8961" max="8961" width="10.28515625" style="1207" customWidth="1"/>
    <col min="8962" max="8962" width="52.28515625" style="1207" customWidth="1"/>
    <col min="8963" max="8967" width="20.28515625" style="1207" customWidth="1"/>
    <col min="8968" max="8968" width="23" style="1207" customWidth="1"/>
    <col min="8969" max="8971" width="20.28515625" style="1207" customWidth="1"/>
    <col min="8972" max="8972" width="20" style="1207" customWidth="1"/>
    <col min="8973" max="8974" width="15.28515625" style="1207" customWidth="1"/>
    <col min="8975" max="9216" width="11.42578125" style="1207"/>
    <col min="9217" max="9217" width="10.28515625" style="1207" customWidth="1"/>
    <col min="9218" max="9218" width="52.28515625" style="1207" customWidth="1"/>
    <col min="9219" max="9223" width="20.28515625" style="1207" customWidth="1"/>
    <col min="9224" max="9224" width="23" style="1207" customWidth="1"/>
    <col min="9225" max="9227" width="20.28515625" style="1207" customWidth="1"/>
    <col min="9228" max="9228" width="20" style="1207" customWidth="1"/>
    <col min="9229" max="9230" width="15.28515625" style="1207" customWidth="1"/>
    <col min="9231" max="9472" width="11.42578125" style="1207"/>
    <col min="9473" max="9473" width="10.28515625" style="1207" customWidth="1"/>
    <col min="9474" max="9474" width="52.28515625" style="1207" customWidth="1"/>
    <col min="9475" max="9479" width="20.28515625" style="1207" customWidth="1"/>
    <col min="9480" max="9480" width="23" style="1207" customWidth="1"/>
    <col min="9481" max="9483" width="20.28515625" style="1207" customWidth="1"/>
    <col min="9484" max="9484" width="20" style="1207" customWidth="1"/>
    <col min="9485" max="9486" width="15.28515625" style="1207" customWidth="1"/>
    <col min="9487" max="9728" width="11.42578125" style="1207"/>
    <col min="9729" max="9729" width="10.28515625" style="1207" customWidth="1"/>
    <col min="9730" max="9730" width="52.28515625" style="1207" customWidth="1"/>
    <col min="9731" max="9735" width="20.28515625" style="1207" customWidth="1"/>
    <col min="9736" max="9736" width="23" style="1207" customWidth="1"/>
    <col min="9737" max="9739" width="20.28515625" style="1207" customWidth="1"/>
    <col min="9740" max="9740" width="20" style="1207" customWidth="1"/>
    <col min="9741" max="9742" width="15.28515625" style="1207" customWidth="1"/>
    <col min="9743" max="9984" width="11.42578125" style="1207"/>
    <col min="9985" max="9985" width="10.28515625" style="1207" customWidth="1"/>
    <col min="9986" max="9986" width="52.28515625" style="1207" customWidth="1"/>
    <col min="9987" max="9991" width="20.28515625" style="1207" customWidth="1"/>
    <col min="9992" max="9992" width="23" style="1207" customWidth="1"/>
    <col min="9993" max="9995" width="20.28515625" style="1207" customWidth="1"/>
    <col min="9996" max="9996" width="20" style="1207" customWidth="1"/>
    <col min="9997" max="9998" width="15.28515625" style="1207" customWidth="1"/>
    <col min="9999" max="10240" width="11.42578125" style="1207"/>
    <col min="10241" max="10241" width="10.28515625" style="1207" customWidth="1"/>
    <col min="10242" max="10242" width="52.28515625" style="1207" customWidth="1"/>
    <col min="10243" max="10247" width="20.28515625" style="1207" customWidth="1"/>
    <col min="10248" max="10248" width="23" style="1207" customWidth="1"/>
    <col min="10249" max="10251" width="20.28515625" style="1207" customWidth="1"/>
    <col min="10252" max="10252" width="20" style="1207" customWidth="1"/>
    <col min="10253" max="10254" width="15.28515625" style="1207" customWidth="1"/>
    <col min="10255" max="10496" width="11.42578125" style="1207"/>
    <col min="10497" max="10497" width="10.28515625" style="1207" customWidth="1"/>
    <col min="10498" max="10498" width="52.28515625" style="1207" customWidth="1"/>
    <col min="10499" max="10503" width="20.28515625" style="1207" customWidth="1"/>
    <col min="10504" max="10504" width="23" style="1207" customWidth="1"/>
    <col min="10505" max="10507" width="20.28515625" style="1207" customWidth="1"/>
    <col min="10508" max="10508" width="20" style="1207" customWidth="1"/>
    <col min="10509" max="10510" width="15.28515625" style="1207" customWidth="1"/>
    <col min="10511" max="10752" width="11.42578125" style="1207"/>
    <col min="10753" max="10753" width="10.28515625" style="1207" customWidth="1"/>
    <col min="10754" max="10754" width="52.28515625" style="1207" customWidth="1"/>
    <col min="10755" max="10759" width="20.28515625" style="1207" customWidth="1"/>
    <col min="10760" max="10760" width="23" style="1207" customWidth="1"/>
    <col min="10761" max="10763" width="20.28515625" style="1207" customWidth="1"/>
    <col min="10764" max="10764" width="20" style="1207" customWidth="1"/>
    <col min="10765" max="10766" width="15.28515625" style="1207" customWidth="1"/>
    <col min="10767" max="11008" width="11.42578125" style="1207"/>
    <col min="11009" max="11009" width="10.28515625" style="1207" customWidth="1"/>
    <col min="11010" max="11010" width="52.28515625" style="1207" customWidth="1"/>
    <col min="11011" max="11015" width="20.28515625" style="1207" customWidth="1"/>
    <col min="11016" max="11016" width="23" style="1207" customWidth="1"/>
    <col min="11017" max="11019" width="20.28515625" style="1207" customWidth="1"/>
    <col min="11020" max="11020" width="20" style="1207" customWidth="1"/>
    <col min="11021" max="11022" width="15.28515625" style="1207" customWidth="1"/>
    <col min="11023" max="11264" width="11.42578125" style="1207"/>
    <col min="11265" max="11265" width="10.28515625" style="1207" customWidth="1"/>
    <col min="11266" max="11266" width="52.28515625" style="1207" customWidth="1"/>
    <col min="11267" max="11271" width="20.28515625" style="1207" customWidth="1"/>
    <col min="11272" max="11272" width="23" style="1207" customWidth="1"/>
    <col min="11273" max="11275" width="20.28515625" style="1207" customWidth="1"/>
    <col min="11276" max="11276" width="20" style="1207" customWidth="1"/>
    <col min="11277" max="11278" width="15.28515625" style="1207" customWidth="1"/>
    <col min="11279" max="11520" width="11.42578125" style="1207"/>
    <col min="11521" max="11521" width="10.28515625" style="1207" customWidth="1"/>
    <col min="11522" max="11522" width="52.28515625" style="1207" customWidth="1"/>
    <col min="11523" max="11527" width="20.28515625" style="1207" customWidth="1"/>
    <col min="11528" max="11528" width="23" style="1207" customWidth="1"/>
    <col min="11529" max="11531" width="20.28515625" style="1207" customWidth="1"/>
    <col min="11532" max="11532" width="20" style="1207" customWidth="1"/>
    <col min="11533" max="11534" width="15.28515625" style="1207" customWidth="1"/>
    <col min="11535" max="11776" width="11.42578125" style="1207"/>
    <col min="11777" max="11777" width="10.28515625" style="1207" customWidth="1"/>
    <col min="11778" max="11778" width="52.28515625" style="1207" customWidth="1"/>
    <col min="11779" max="11783" width="20.28515625" style="1207" customWidth="1"/>
    <col min="11784" max="11784" width="23" style="1207" customWidth="1"/>
    <col min="11785" max="11787" width="20.28515625" style="1207" customWidth="1"/>
    <col min="11788" max="11788" width="20" style="1207" customWidth="1"/>
    <col min="11789" max="11790" width="15.28515625" style="1207" customWidth="1"/>
    <col min="11791" max="12032" width="11.42578125" style="1207"/>
    <col min="12033" max="12033" width="10.28515625" style="1207" customWidth="1"/>
    <col min="12034" max="12034" width="52.28515625" style="1207" customWidth="1"/>
    <col min="12035" max="12039" width="20.28515625" style="1207" customWidth="1"/>
    <col min="12040" max="12040" width="23" style="1207" customWidth="1"/>
    <col min="12041" max="12043" width="20.28515625" style="1207" customWidth="1"/>
    <col min="12044" max="12044" width="20" style="1207" customWidth="1"/>
    <col min="12045" max="12046" width="15.28515625" style="1207" customWidth="1"/>
    <col min="12047" max="12288" width="11.42578125" style="1207"/>
    <col min="12289" max="12289" width="10.28515625" style="1207" customWidth="1"/>
    <col min="12290" max="12290" width="52.28515625" style="1207" customWidth="1"/>
    <col min="12291" max="12295" width="20.28515625" style="1207" customWidth="1"/>
    <col min="12296" max="12296" width="23" style="1207" customWidth="1"/>
    <col min="12297" max="12299" width="20.28515625" style="1207" customWidth="1"/>
    <col min="12300" max="12300" width="20" style="1207" customWidth="1"/>
    <col min="12301" max="12302" width="15.28515625" style="1207" customWidth="1"/>
    <col min="12303" max="12544" width="11.42578125" style="1207"/>
    <col min="12545" max="12545" width="10.28515625" style="1207" customWidth="1"/>
    <col min="12546" max="12546" width="52.28515625" style="1207" customWidth="1"/>
    <col min="12547" max="12551" width="20.28515625" style="1207" customWidth="1"/>
    <col min="12552" max="12552" width="23" style="1207" customWidth="1"/>
    <col min="12553" max="12555" width="20.28515625" style="1207" customWidth="1"/>
    <col min="12556" max="12556" width="20" style="1207" customWidth="1"/>
    <col min="12557" max="12558" width="15.28515625" style="1207" customWidth="1"/>
    <col min="12559" max="12800" width="11.42578125" style="1207"/>
    <col min="12801" max="12801" width="10.28515625" style="1207" customWidth="1"/>
    <col min="12802" max="12802" width="52.28515625" style="1207" customWidth="1"/>
    <col min="12803" max="12807" width="20.28515625" style="1207" customWidth="1"/>
    <col min="12808" max="12808" width="23" style="1207" customWidth="1"/>
    <col min="12809" max="12811" width="20.28515625" style="1207" customWidth="1"/>
    <col min="12812" max="12812" width="20" style="1207" customWidth="1"/>
    <col min="12813" max="12814" width="15.28515625" style="1207" customWidth="1"/>
    <col min="12815" max="13056" width="11.42578125" style="1207"/>
    <col min="13057" max="13057" width="10.28515625" style="1207" customWidth="1"/>
    <col min="13058" max="13058" width="52.28515625" style="1207" customWidth="1"/>
    <col min="13059" max="13063" width="20.28515625" style="1207" customWidth="1"/>
    <col min="13064" max="13064" width="23" style="1207" customWidth="1"/>
    <col min="13065" max="13067" width="20.28515625" style="1207" customWidth="1"/>
    <col min="13068" max="13068" width="20" style="1207" customWidth="1"/>
    <col min="13069" max="13070" width="15.28515625" style="1207" customWidth="1"/>
    <col min="13071" max="13312" width="11.42578125" style="1207"/>
    <col min="13313" max="13313" width="10.28515625" style="1207" customWidth="1"/>
    <col min="13314" max="13314" width="52.28515625" style="1207" customWidth="1"/>
    <col min="13315" max="13319" width="20.28515625" style="1207" customWidth="1"/>
    <col min="13320" max="13320" width="23" style="1207" customWidth="1"/>
    <col min="13321" max="13323" width="20.28515625" style="1207" customWidth="1"/>
    <col min="13324" max="13324" width="20" style="1207" customWidth="1"/>
    <col min="13325" max="13326" width="15.28515625" style="1207" customWidth="1"/>
    <col min="13327" max="13568" width="11.42578125" style="1207"/>
    <col min="13569" max="13569" width="10.28515625" style="1207" customWidth="1"/>
    <col min="13570" max="13570" width="52.28515625" style="1207" customWidth="1"/>
    <col min="13571" max="13575" width="20.28515625" style="1207" customWidth="1"/>
    <col min="13576" max="13576" width="23" style="1207" customWidth="1"/>
    <col min="13577" max="13579" width="20.28515625" style="1207" customWidth="1"/>
    <col min="13580" max="13580" width="20" style="1207" customWidth="1"/>
    <col min="13581" max="13582" width="15.28515625" style="1207" customWidth="1"/>
    <col min="13583" max="13824" width="11.42578125" style="1207"/>
    <col min="13825" max="13825" width="10.28515625" style="1207" customWidth="1"/>
    <col min="13826" max="13826" width="52.28515625" style="1207" customWidth="1"/>
    <col min="13827" max="13831" width="20.28515625" style="1207" customWidth="1"/>
    <col min="13832" max="13832" width="23" style="1207" customWidth="1"/>
    <col min="13833" max="13835" width="20.28515625" style="1207" customWidth="1"/>
    <col min="13836" max="13836" width="20" style="1207" customWidth="1"/>
    <col min="13837" max="13838" width="15.28515625" style="1207" customWidth="1"/>
    <col min="13839" max="14080" width="11.42578125" style="1207"/>
    <col min="14081" max="14081" width="10.28515625" style="1207" customWidth="1"/>
    <col min="14082" max="14082" width="52.28515625" style="1207" customWidth="1"/>
    <col min="14083" max="14087" width="20.28515625" style="1207" customWidth="1"/>
    <col min="14088" max="14088" width="23" style="1207" customWidth="1"/>
    <col min="14089" max="14091" width="20.28515625" style="1207" customWidth="1"/>
    <col min="14092" max="14092" width="20" style="1207" customWidth="1"/>
    <col min="14093" max="14094" width="15.28515625" style="1207" customWidth="1"/>
    <col min="14095" max="14336" width="11.42578125" style="1207"/>
    <col min="14337" max="14337" width="10.28515625" style="1207" customWidth="1"/>
    <col min="14338" max="14338" width="52.28515625" style="1207" customWidth="1"/>
    <col min="14339" max="14343" width="20.28515625" style="1207" customWidth="1"/>
    <col min="14344" max="14344" width="23" style="1207" customWidth="1"/>
    <col min="14345" max="14347" width="20.28515625" style="1207" customWidth="1"/>
    <col min="14348" max="14348" width="20" style="1207" customWidth="1"/>
    <col min="14349" max="14350" width="15.28515625" style="1207" customWidth="1"/>
    <col min="14351" max="14592" width="11.42578125" style="1207"/>
    <col min="14593" max="14593" width="10.28515625" style="1207" customWidth="1"/>
    <col min="14594" max="14594" width="52.28515625" style="1207" customWidth="1"/>
    <col min="14595" max="14599" width="20.28515625" style="1207" customWidth="1"/>
    <col min="14600" max="14600" width="23" style="1207" customWidth="1"/>
    <col min="14601" max="14603" width="20.28515625" style="1207" customWidth="1"/>
    <col min="14604" max="14604" width="20" style="1207" customWidth="1"/>
    <col min="14605" max="14606" width="15.28515625" style="1207" customWidth="1"/>
    <col min="14607" max="14848" width="11.42578125" style="1207"/>
    <col min="14849" max="14849" width="10.28515625" style="1207" customWidth="1"/>
    <col min="14850" max="14850" width="52.28515625" style="1207" customWidth="1"/>
    <col min="14851" max="14855" width="20.28515625" style="1207" customWidth="1"/>
    <col min="14856" max="14856" width="23" style="1207" customWidth="1"/>
    <col min="14857" max="14859" width="20.28515625" style="1207" customWidth="1"/>
    <col min="14860" max="14860" width="20" style="1207" customWidth="1"/>
    <col min="14861" max="14862" width="15.28515625" style="1207" customWidth="1"/>
    <col min="14863" max="15104" width="11.42578125" style="1207"/>
    <col min="15105" max="15105" width="10.28515625" style="1207" customWidth="1"/>
    <col min="15106" max="15106" width="52.28515625" style="1207" customWidth="1"/>
    <col min="15107" max="15111" width="20.28515625" style="1207" customWidth="1"/>
    <col min="15112" max="15112" width="23" style="1207" customWidth="1"/>
    <col min="15113" max="15115" width="20.28515625" style="1207" customWidth="1"/>
    <col min="15116" max="15116" width="20" style="1207" customWidth="1"/>
    <col min="15117" max="15118" width="15.28515625" style="1207" customWidth="1"/>
    <col min="15119" max="15360" width="11.42578125" style="1207"/>
    <col min="15361" max="15361" width="10.28515625" style="1207" customWidth="1"/>
    <col min="15362" max="15362" width="52.28515625" style="1207" customWidth="1"/>
    <col min="15363" max="15367" width="20.28515625" style="1207" customWidth="1"/>
    <col min="15368" max="15368" width="23" style="1207" customWidth="1"/>
    <col min="15369" max="15371" width="20.28515625" style="1207" customWidth="1"/>
    <col min="15372" max="15372" width="20" style="1207" customWidth="1"/>
    <col min="15373" max="15374" width="15.28515625" style="1207" customWidth="1"/>
    <col min="15375" max="15616" width="11.42578125" style="1207"/>
    <col min="15617" max="15617" width="10.28515625" style="1207" customWidth="1"/>
    <col min="15618" max="15618" width="52.28515625" style="1207" customWidth="1"/>
    <col min="15619" max="15623" width="20.28515625" style="1207" customWidth="1"/>
    <col min="15624" max="15624" width="23" style="1207" customWidth="1"/>
    <col min="15625" max="15627" width="20.28515625" style="1207" customWidth="1"/>
    <col min="15628" max="15628" width="20" style="1207" customWidth="1"/>
    <col min="15629" max="15630" width="15.28515625" style="1207" customWidth="1"/>
    <col min="15631" max="15872" width="11.42578125" style="1207"/>
    <col min="15873" max="15873" width="10.28515625" style="1207" customWidth="1"/>
    <col min="15874" max="15874" width="52.28515625" style="1207" customWidth="1"/>
    <col min="15875" max="15879" width="20.28515625" style="1207" customWidth="1"/>
    <col min="15880" max="15880" width="23" style="1207" customWidth="1"/>
    <col min="15881" max="15883" width="20.28515625" style="1207" customWidth="1"/>
    <col min="15884" max="15884" width="20" style="1207" customWidth="1"/>
    <col min="15885" max="15886" width="15.28515625" style="1207" customWidth="1"/>
    <col min="15887" max="16128" width="11.42578125" style="1207"/>
    <col min="16129" max="16129" width="10.28515625" style="1207" customWidth="1"/>
    <col min="16130" max="16130" width="52.28515625" style="1207" customWidth="1"/>
    <col min="16131" max="16135" width="20.28515625" style="1207" customWidth="1"/>
    <col min="16136" max="16136" width="23" style="1207" customWidth="1"/>
    <col min="16137" max="16139" width="20.28515625" style="1207" customWidth="1"/>
    <col min="16140" max="16140" width="20" style="1207" customWidth="1"/>
    <col min="16141" max="16142" width="15.28515625" style="1207" customWidth="1"/>
    <col min="16143" max="16384" width="11.42578125" style="1207"/>
  </cols>
  <sheetData>
    <row r="1" spans="1:22" ht="15">
      <c r="A1" s="1160"/>
      <c r="B1" s="1811"/>
      <c r="C1" s="1811"/>
      <c r="D1" s="1811"/>
      <c r="E1" s="1812"/>
      <c r="F1" s="1813"/>
      <c r="G1" s="1813"/>
      <c r="H1" s="1813"/>
      <c r="I1" s="1813"/>
      <c r="J1" s="1813"/>
      <c r="K1" s="1813"/>
      <c r="L1" s="1813"/>
      <c r="M1" s="1813"/>
    </row>
    <row r="2" spans="1:22" ht="15">
      <c r="A2" s="2192" t="str">
        <f>+'SWT TCOS'!F4</f>
        <v xml:space="preserve">AEP West SPP Member Transmission Companies </v>
      </c>
      <c r="B2" s="2192"/>
      <c r="C2" s="2192"/>
      <c r="D2" s="2192"/>
      <c r="E2" s="2192"/>
      <c r="F2" s="2192"/>
      <c r="G2" s="2192"/>
      <c r="H2" s="2192"/>
      <c r="I2" s="275"/>
      <c r="J2" s="275"/>
      <c r="K2" s="275"/>
      <c r="L2" s="275"/>
      <c r="M2" s="275"/>
    </row>
    <row r="3" spans="1:22" ht="15">
      <c r="A3" s="2302" t="str">
        <f>+'SWT WS A-1 - Plant'!A3</f>
        <v xml:space="preserve">Actual / Projected 2022 Rate Year Cost of Service Formula Rate </v>
      </c>
      <c r="B3" s="2302"/>
      <c r="C3" s="2302"/>
      <c r="D3" s="2302"/>
      <c r="E3" s="2302"/>
      <c r="F3" s="2302"/>
      <c r="G3" s="2302"/>
      <c r="H3" s="2302"/>
      <c r="I3" s="1412"/>
      <c r="J3" s="1412"/>
      <c r="K3" s="1412"/>
      <c r="L3" s="1412"/>
      <c r="M3" s="1412"/>
    </row>
    <row r="4" spans="1:22" ht="15.75">
      <c r="A4" s="2303" t="s">
        <v>867</v>
      </c>
      <c r="B4" s="2303"/>
      <c r="C4" s="2303"/>
      <c r="D4" s="2303"/>
      <c r="E4" s="2303"/>
      <c r="F4" s="2303"/>
      <c r="G4" s="2303"/>
      <c r="H4" s="2303"/>
      <c r="I4" s="1412"/>
      <c r="J4" s="1412"/>
      <c r="K4" s="1412"/>
      <c r="L4" s="1412"/>
      <c r="M4" s="1412"/>
    </row>
    <row r="5" spans="1:22" ht="15.75">
      <c r="A5" s="2193" t="str">
        <f>+'SWT TCOS'!F8</f>
        <v>AEP SOUTHWESTERN TRANSMISSION COMPANY</v>
      </c>
      <c r="B5" s="2193"/>
      <c r="C5" s="2193"/>
      <c r="D5" s="2193"/>
      <c r="E5" s="2193"/>
      <c r="F5" s="2193"/>
      <c r="G5" s="2193"/>
      <c r="H5" s="2193"/>
      <c r="I5" s="479"/>
      <c r="J5" s="479"/>
      <c r="K5" s="479"/>
      <c r="L5" s="479"/>
      <c r="M5" s="479"/>
    </row>
    <row r="6" spans="1:22">
      <c r="A6" s="1208"/>
      <c r="B6" s="1209"/>
      <c r="C6" s="2165"/>
      <c r="D6" s="2165"/>
      <c r="E6" s="2166"/>
      <c r="F6" s="2167"/>
      <c r="H6" s="30"/>
      <c r="I6" s="30"/>
      <c r="J6" s="30"/>
      <c r="K6" s="30"/>
      <c r="L6" s="30"/>
    </row>
    <row r="7" spans="1:22" ht="12.75" customHeight="1">
      <c r="A7" s="1210"/>
      <c r="B7" s="1211"/>
      <c r="C7" s="2273" t="s">
        <v>172</v>
      </c>
      <c r="D7" s="2274"/>
      <c r="E7" s="2274"/>
      <c r="F7" s="2274"/>
      <c r="G7" s="2275"/>
      <c r="H7" s="31"/>
      <c r="I7" s="30"/>
      <c r="J7" s="30"/>
      <c r="K7" s="30"/>
      <c r="L7" s="30"/>
    </row>
    <row r="8" spans="1:22" s="1217" customFormat="1" ht="50.25" customHeight="1">
      <c r="A8" s="1212" t="s">
        <v>693</v>
      </c>
      <c r="B8" s="1213" t="s">
        <v>676</v>
      </c>
      <c r="C8" s="2146" t="s">
        <v>836</v>
      </c>
      <c r="D8" s="2147" t="s">
        <v>837</v>
      </c>
      <c r="E8" s="2147" t="s">
        <v>838</v>
      </c>
      <c r="F8" s="2147" t="s">
        <v>839</v>
      </c>
      <c r="G8" s="1216" t="s">
        <v>172</v>
      </c>
      <c r="H8" s="31"/>
      <c r="I8" s="30"/>
      <c r="J8" s="30"/>
      <c r="K8" s="30"/>
      <c r="L8" s="30"/>
    </row>
    <row r="9" spans="1:22" s="1223" customFormat="1">
      <c r="A9" s="1218"/>
      <c r="B9" s="1219" t="s">
        <v>702</v>
      </c>
      <c r="C9" s="1220" t="s">
        <v>703</v>
      </c>
      <c r="D9" s="1221" t="s">
        <v>704</v>
      </c>
      <c r="E9" s="1221" t="s">
        <v>705</v>
      </c>
      <c r="F9" s="1221" t="s">
        <v>706</v>
      </c>
      <c r="G9" s="1222" t="s">
        <v>840</v>
      </c>
      <c r="H9" s="31"/>
      <c r="I9" s="30"/>
      <c r="J9" s="30"/>
      <c r="K9" s="30"/>
      <c r="L9" s="30"/>
    </row>
    <row r="10" spans="1:22" s="1223" customFormat="1" ht="44.25" customHeight="1">
      <c r="A10" s="1218"/>
      <c r="B10" s="1219" t="s">
        <v>841</v>
      </c>
      <c r="C10" s="1224" t="s">
        <v>842</v>
      </c>
      <c r="D10" s="1225" t="s">
        <v>843</v>
      </c>
      <c r="E10" s="1225" t="s">
        <v>844</v>
      </c>
      <c r="F10" s="1225" t="s">
        <v>845</v>
      </c>
      <c r="G10" s="1226"/>
      <c r="H10" s="31"/>
      <c r="I10" s="30"/>
      <c r="J10" s="30"/>
      <c r="K10" s="30"/>
      <c r="L10" s="30"/>
    </row>
    <row r="11" spans="1:22">
      <c r="A11" s="1218">
        <v>1</v>
      </c>
      <c r="B11" s="1227" t="s">
        <v>712</v>
      </c>
      <c r="C11" s="569">
        <v>-1689622.0769999996</v>
      </c>
      <c r="D11" s="569">
        <v>0</v>
      </c>
      <c r="E11" s="569">
        <v>0</v>
      </c>
      <c r="F11" s="569">
        <v>0</v>
      </c>
      <c r="G11" s="1228">
        <f t="shared" ref="G11:G23" si="0">+C11-D11-E11-F11</f>
        <v>-1689622.0769999996</v>
      </c>
      <c r="H11" s="31"/>
      <c r="I11" s="131"/>
      <c r="J11" s="131"/>
      <c r="K11" s="131"/>
      <c r="L11" s="131"/>
      <c r="M11" s="131"/>
      <c r="N11" s="131"/>
      <c r="O11" s="131"/>
      <c r="P11" s="131"/>
      <c r="Q11" s="131"/>
      <c r="R11" s="131"/>
      <c r="S11" s="131"/>
      <c r="T11" s="131"/>
      <c r="U11" s="131"/>
      <c r="V11" s="131"/>
    </row>
    <row r="12" spans="1:22">
      <c r="A12" s="1218">
        <f t="shared" ref="A12:A24" si="1">+A11+1</f>
        <v>2</v>
      </c>
      <c r="B12" s="1227" t="s">
        <v>319</v>
      </c>
      <c r="C12" s="569">
        <v>-1697558.8180000004</v>
      </c>
      <c r="D12" s="569"/>
      <c r="E12" s="569"/>
      <c r="F12" s="569"/>
      <c r="G12" s="1228">
        <f t="shared" si="0"/>
        <v>-1697558.8180000004</v>
      </c>
      <c r="H12" s="31"/>
      <c r="I12" s="30"/>
      <c r="J12" s="30"/>
      <c r="K12" s="30"/>
      <c r="L12" s="30"/>
    </row>
    <row r="13" spans="1:22">
      <c r="A13" s="1218">
        <f t="shared" si="1"/>
        <v>3</v>
      </c>
      <c r="B13" s="1229" t="s">
        <v>512</v>
      </c>
      <c r="C13" s="569">
        <v>-1703912.7830000003</v>
      </c>
      <c r="D13" s="569"/>
      <c r="E13" s="569"/>
      <c r="F13" s="569"/>
      <c r="G13" s="1228">
        <f t="shared" si="0"/>
        <v>-1703912.7830000003</v>
      </c>
      <c r="H13" s="31"/>
      <c r="I13" s="30"/>
      <c r="J13" s="30"/>
      <c r="K13" s="30"/>
      <c r="L13" s="30"/>
    </row>
    <row r="14" spans="1:22">
      <c r="A14" s="1218">
        <f t="shared" si="1"/>
        <v>4</v>
      </c>
      <c r="B14" s="1229" t="s">
        <v>713</v>
      </c>
      <c r="C14" s="569">
        <v>-1716455.1719999998</v>
      </c>
      <c r="D14" s="569"/>
      <c r="E14" s="569"/>
      <c r="F14" s="569"/>
      <c r="G14" s="1228">
        <f t="shared" si="0"/>
        <v>-1716455.1719999998</v>
      </c>
      <c r="H14" s="31"/>
      <c r="I14" s="30"/>
      <c r="J14" s="30"/>
      <c r="K14" s="30"/>
      <c r="L14" s="30"/>
    </row>
    <row r="15" spans="1:22">
      <c r="A15" s="1218">
        <f t="shared" si="1"/>
        <v>5</v>
      </c>
      <c r="B15" s="1229" t="s">
        <v>321</v>
      </c>
      <c r="C15" s="569">
        <v>-1724987.6000000003</v>
      </c>
      <c r="D15" s="569"/>
      <c r="E15" s="569"/>
      <c r="F15" s="569"/>
      <c r="G15" s="1228">
        <f t="shared" si="0"/>
        <v>-1724987.6000000003</v>
      </c>
      <c r="H15" s="31"/>
      <c r="I15" s="30"/>
      <c r="J15" s="30"/>
      <c r="K15" s="30"/>
      <c r="L15" s="30"/>
    </row>
    <row r="16" spans="1:22">
      <c r="A16" s="1218">
        <f t="shared" si="1"/>
        <v>6</v>
      </c>
      <c r="B16" s="1229" t="s">
        <v>322</v>
      </c>
      <c r="C16" s="569">
        <v>-1732652.8239999996</v>
      </c>
      <c r="D16" s="569"/>
      <c r="E16" s="569"/>
      <c r="F16" s="569"/>
      <c r="G16" s="1228">
        <f t="shared" si="0"/>
        <v>-1732652.8239999996</v>
      </c>
      <c r="H16" s="31"/>
      <c r="I16" s="30"/>
      <c r="J16" s="30"/>
      <c r="K16" s="30"/>
      <c r="L16" s="30"/>
    </row>
    <row r="17" spans="1:23">
      <c r="A17" s="1218">
        <f t="shared" si="1"/>
        <v>7</v>
      </c>
      <c r="B17" s="1229" t="s">
        <v>48</v>
      </c>
      <c r="C17" s="569">
        <v>-1783995.6340000001</v>
      </c>
      <c r="D17" s="569"/>
      <c r="E17" s="569"/>
      <c r="F17" s="569"/>
      <c r="G17" s="1228">
        <f t="shared" si="0"/>
        <v>-1783995.6340000001</v>
      </c>
      <c r="H17" s="31"/>
      <c r="I17" s="30"/>
      <c r="J17" s="30"/>
      <c r="K17" s="30"/>
      <c r="L17" s="30"/>
    </row>
    <row r="18" spans="1:23">
      <c r="A18" s="1218">
        <f t="shared" si="1"/>
        <v>8</v>
      </c>
      <c r="B18" s="1229" t="s">
        <v>323</v>
      </c>
      <c r="C18" s="569">
        <v>-1783213.6370000003</v>
      </c>
      <c r="D18" s="569"/>
      <c r="E18" s="569"/>
      <c r="F18" s="569"/>
      <c r="G18" s="1228">
        <f t="shared" si="0"/>
        <v>-1783213.6370000003</v>
      </c>
      <c r="H18" s="31"/>
      <c r="I18" s="30"/>
      <c r="J18" s="30"/>
      <c r="K18" s="30"/>
      <c r="L18" s="30"/>
    </row>
    <row r="19" spans="1:23">
      <c r="A19" s="1218">
        <f t="shared" si="1"/>
        <v>9</v>
      </c>
      <c r="B19" s="1229" t="s">
        <v>714</v>
      </c>
      <c r="C19" s="569">
        <v>-1801058.3280000002</v>
      </c>
      <c r="D19" s="569"/>
      <c r="E19" s="569"/>
      <c r="F19" s="569"/>
      <c r="G19" s="1228">
        <f t="shared" si="0"/>
        <v>-1801058.3280000002</v>
      </c>
      <c r="H19" s="31"/>
      <c r="I19" s="30"/>
      <c r="J19" s="30"/>
      <c r="K19" s="30"/>
      <c r="L19" s="30"/>
    </row>
    <row r="20" spans="1:23">
      <c r="A20" s="1218">
        <f t="shared" si="1"/>
        <v>10</v>
      </c>
      <c r="B20" s="1229" t="s">
        <v>326</v>
      </c>
      <c r="C20" s="569">
        <v>-1527987.51</v>
      </c>
      <c r="D20" s="569"/>
      <c r="E20" s="569"/>
      <c r="F20" s="569"/>
      <c r="G20" s="1228">
        <f t="shared" si="0"/>
        <v>-1527987.51</v>
      </c>
      <c r="H20" s="31"/>
      <c r="I20" s="30"/>
      <c r="J20" s="30"/>
      <c r="K20" s="30"/>
      <c r="L20" s="30"/>
    </row>
    <row r="21" spans="1:23">
      <c r="A21" s="1218">
        <f t="shared" si="1"/>
        <v>11</v>
      </c>
      <c r="B21" s="1229" t="s">
        <v>513</v>
      </c>
      <c r="C21" s="569">
        <v>-1537917.1360000009</v>
      </c>
      <c r="D21" s="569"/>
      <c r="E21" s="569"/>
      <c r="F21" s="569"/>
      <c r="G21" s="1228">
        <f t="shared" si="0"/>
        <v>-1537917.1360000009</v>
      </c>
      <c r="H21" s="31"/>
      <c r="I21" s="30"/>
      <c r="J21" s="30"/>
      <c r="K21" s="30"/>
      <c r="L21" s="30"/>
    </row>
    <row r="22" spans="1:23">
      <c r="A22" s="1218">
        <f t="shared" si="1"/>
        <v>12</v>
      </c>
      <c r="B22" s="1229" t="s">
        <v>514</v>
      </c>
      <c r="C22" s="569">
        <v>-1556042.486</v>
      </c>
      <c r="D22" s="569"/>
      <c r="E22" s="569"/>
      <c r="F22" s="569"/>
      <c r="G22" s="1228">
        <f t="shared" si="0"/>
        <v>-1556042.486</v>
      </c>
      <c r="H22" s="31"/>
      <c r="I22" s="30"/>
      <c r="J22" s="30"/>
      <c r="K22" s="30"/>
      <c r="L22" s="30"/>
    </row>
    <row r="23" spans="1:23">
      <c r="A23" s="1230">
        <f t="shared" si="1"/>
        <v>13</v>
      </c>
      <c r="B23" s="1231" t="s">
        <v>715</v>
      </c>
      <c r="C23" s="569">
        <v>-1511338.9460000002</v>
      </c>
      <c r="D23" s="569">
        <v>0</v>
      </c>
      <c r="E23" s="569">
        <v>0</v>
      </c>
      <c r="F23" s="569">
        <v>0</v>
      </c>
      <c r="G23" s="1228">
        <f t="shared" si="0"/>
        <v>-1511338.9460000002</v>
      </c>
      <c r="H23" s="31"/>
      <c r="I23" s="30"/>
      <c r="J23" s="30"/>
      <c r="K23" s="30"/>
      <c r="L23" s="30"/>
    </row>
    <row r="24" spans="1:23" ht="13.5" thickBot="1">
      <c r="A24" s="1819">
        <f t="shared" si="1"/>
        <v>14</v>
      </c>
      <c r="B24" s="1900" t="s">
        <v>1012</v>
      </c>
      <c r="C24" s="1901">
        <f>SUM(C11:C23)/13</f>
        <v>-1674364.8423846152</v>
      </c>
      <c r="D24" s="1902">
        <f>SUM(D11:D23)/13</f>
        <v>0</v>
      </c>
      <c r="E24" s="1902">
        <f>SUM(E11:E23)/13</f>
        <v>0</v>
      </c>
      <c r="F24" s="1902">
        <f>SUM(F11:F23)/13</f>
        <v>0</v>
      </c>
      <c r="G24" s="1233">
        <f>AVERAGE(G11:G23)</f>
        <v>-1674364.8423846152</v>
      </c>
      <c r="H24" s="31"/>
      <c r="I24" s="30"/>
      <c r="J24" s="30"/>
      <c r="K24" s="30"/>
      <c r="L24" s="30"/>
    </row>
    <row r="25" spans="1:23" ht="13.5" thickTop="1">
      <c r="A25" s="1210"/>
      <c r="B25" s="1234"/>
      <c r="C25"/>
      <c r="D25"/>
      <c r="E25"/>
      <c r="F25"/>
      <c r="G25" s="1235"/>
      <c r="H25" s="1235"/>
      <c r="I25" s="30"/>
      <c r="J25" s="30"/>
      <c r="K25" s="30"/>
      <c r="L25" s="30"/>
    </row>
    <row r="26" spans="1:23" ht="12.75" customHeight="1">
      <c r="A26" s="1210"/>
      <c r="B26" s="1211"/>
      <c r="C26" s="2276" t="s">
        <v>846</v>
      </c>
      <c r="D26" s="2277"/>
      <c r="E26" s="2277"/>
      <c r="F26" s="2277"/>
      <c r="G26" s="2277"/>
      <c r="H26" s="2278"/>
      <c r="I26" s="30"/>
      <c r="J26" s="30"/>
      <c r="K26" s="30"/>
      <c r="L26" s="30"/>
    </row>
    <row r="27" spans="1:23" s="1217" customFormat="1" ht="38.25">
      <c r="A27" s="1212" t="s">
        <v>693</v>
      </c>
      <c r="B27" s="1213" t="s">
        <v>676</v>
      </c>
      <c r="C27" s="2146" t="s">
        <v>847</v>
      </c>
      <c r="D27" s="2147" t="s">
        <v>848</v>
      </c>
      <c r="E27" s="2147" t="s">
        <v>849</v>
      </c>
      <c r="F27" s="2147" t="s">
        <v>850</v>
      </c>
      <c r="G27" s="2147" t="s">
        <v>851</v>
      </c>
      <c r="H27" s="1216" t="s">
        <v>852</v>
      </c>
      <c r="I27" s="30"/>
      <c r="J27" s="30"/>
      <c r="K27" s="30"/>
      <c r="L27" s="30"/>
    </row>
    <row r="28" spans="1:23" s="1223" customFormat="1">
      <c r="A28" s="1218"/>
      <c r="B28" s="1219" t="s">
        <v>702</v>
      </c>
      <c r="C28" s="1220" t="s">
        <v>703</v>
      </c>
      <c r="D28" s="1221" t="s">
        <v>704</v>
      </c>
      <c r="E28" s="1221" t="s">
        <v>705</v>
      </c>
      <c r="F28" s="1221" t="s">
        <v>706</v>
      </c>
      <c r="G28" s="1221" t="s">
        <v>707</v>
      </c>
      <c r="H28" s="1222" t="s">
        <v>853</v>
      </c>
      <c r="I28" s="30"/>
      <c r="J28" s="30"/>
      <c r="K28" s="30"/>
      <c r="L28" s="30"/>
    </row>
    <row r="29" spans="1:23" s="1223" customFormat="1" ht="44.25" customHeight="1">
      <c r="A29" s="1218"/>
      <c r="B29" s="1219" t="s">
        <v>841</v>
      </c>
      <c r="C29" s="1224" t="s">
        <v>854</v>
      </c>
      <c r="D29" s="1225" t="s">
        <v>855</v>
      </c>
      <c r="E29" s="1225" t="s">
        <v>856</v>
      </c>
      <c r="F29" s="1225" t="s">
        <v>857</v>
      </c>
      <c r="G29" s="1225" t="s">
        <v>858</v>
      </c>
      <c r="H29" s="1236"/>
      <c r="I29" s="30"/>
      <c r="J29" s="30"/>
      <c r="K29" s="30"/>
      <c r="L29" s="30"/>
    </row>
    <row r="30" spans="1:23">
      <c r="A30" s="1218">
        <f>+A24+1</f>
        <v>15</v>
      </c>
      <c r="B30" s="1227" t="s">
        <v>712</v>
      </c>
      <c r="C30" s="569">
        <v>0</v>
      </c>
      <c r="D30" s="569">
        <v>0</v>
      </c>
      <c r="E30" s="569">
        <v>0</v>
      </c>
      <c r="F30" s="569">
        <v>0</v>
      </c>
      <c r="G30" s="569">
        <v>0</v>
      </c>
      <c r="H30" s="1228">
        <f t="shared" ref="H30:H42" si="2">+C30-D30+E30+F30-G30</f>
        <v>0</v>
      </c>
      <c r="I30" s="30"/>
      <c r="J30" s="131"/>
      <c r="K30" s="131"/>
      <c r="L30" s="131"/>
      <c r="M30" s="131"/>
      <c r="N30" s="131"/>
      <c r="O30" s="131"/>
      <c r="P30" s="131"/>
      <c r="Q30" s="131"/>
      <c r="R30" s="131"/>
      <c r="S30" s="131"/>
      <c r="T30" s="131"/>
      <c r="U30" s="131"/>
      <c r="V30" s="131"/>
      <c r="W30" s="131"/>
    </row>
    <row r="31" spans="1:23">
      <c r="A31" s="1218">
        <f t="shared" ref="A31:A43" si="3">+A30+1</f>
        <v>16</v>
      </c>
      <c r="B31" s="1227" t="s">
        <v>319</v>
      </c>
      <c r="C31" s="569"/>
      <c r="D31" s="569"/>
      <c r="E31" s="569"/>
      <c r="F31" s="569"/>
      <c r="G31" s="569"/>
      <c r="H31" s="1228">
        <f t="shared" si="2"/>
        <v>0</v>
      </c>
      <c r="I31" s="30"/>
      <c r="J31" s="30"/>
      <c r="K31" s="30"/>
      <c r="L31" s="30"/>
    </row>
    <row r="32" spans="1:23">
      <c r="A32" s="1218">
        <f t="shared" si="3"/>
        <v>17</v>
      </c>
      <c r="B32" s="1229" t="s">
        <v>512</v>
      </c>
      <c r="C32" s="569"/>
      <c r="D32" s="569"/>
      <c r="E32" s="569"/>
      <c r="F32" s="569"/>
      <c r="G32" s="569"/>
      <c r="H32" s="1228">
        <f t="shared" si="2"/>
        <v>0</v>
      </c>
      <c r="I32" s="30"/>
      <c r="J32" s="30"/>
      <c r="K32" s="30"/>
      <c r="L32" s="30"/>
    </row>
    <row r="33" spans="1:12">
      <c r="A33" s="1218">
        <f t="shared" si="3"/>
        <v>18</v>
      </c>
      <c r="B33" s="1229" t="s">
        <v>713</v>
      </c>
      <c r="C33" s="569"/>
      <c r="D33" s="569"/>
      <c r="E33" s="569"/>
      <c r="F33" s="569"/>
      <c r="G33" s="569"/>
      <c r="H33" s="1228">
        <f t="shared" si="2"/>
        <v>0</v>
      </c>
      <c r="I33" s="30"/>
      <c r="J33" s="30"/>
      <c r="K33" s="30"/>
      <c r="L33" s="30"/>
    </row>
    <row r="34" spans="1:12">
      <c r="A34" s="1218">
        <f t="shared" si="3"/>
        <v>19</v>
      </c>
      <c r="B34" s="1229" t="s">
        <v>321</v>
      </c>
      <c r="C34" s="569"/>
      <c r="D34" s="569"/>
      <c r="E34" s="569"/>
      <c r="F34" s="569"/>
      <c r="G34" s="569"/>
      <c r="H34" s="1228">
        <f t="shared" si="2"/>
        <v>0</v>
      </c>
      <c r="I34" s="30"/>
      <c r="J34" s="30"/>
      <c r="K34" s="30"/>
      <c r="L34" s="30"/>
    </row>
    <row r="35" spans="1:12">
      <c r="A35" s="1218">
        <f t="shared" si="3"/>
        <v>20</v>
      </c>
      <c r="B35" s="1229" t="s">
        <v>322</v>
      </c>
      <c r="C35" s="569"/>
      <c r="D35" s="569"/>
      <c r="E35" s="569"/>
      <c r="F35" s="569"/>
      <c r="G35" s="569"/>
      <c r="H35" s="1228">
        <f t="shared" si="2"/>
        <v>0</v>
      </c>
      <c r="I35" s="30"/>
      <c r="J35" s="30"/>
      <c r="K35" s="30"/>
      <c r="L35" s="30"/>
    </row>
    <row r="36" spans="1:12">
      <c r="A36" s="1218">
        <f t="shared" si="3"/>
        <v>21</v>
      </c>
      <c r="B36" s="1229" t="s">
        <v>48</v>
      </c>
      <c r="C36" s="569"/>
      <c r="D36" s="569"/>
      <c r="E36" s="569"/>
      <c r="F36" s="569"/>
      <c r="G36" s="569"/>
      <c r="H36" s="1228">
        <f t="shared" si="2"/>
        <v>0</v>
      </c>
      <c r="I36" s="30"/>
      <c r="J36" s="30"/>
      <c r="K36" s="30"/>
      <c r="L36" s="30"/>
    </row>
    <row r="37" spans="1:12">
      <c r="A37" s="1218">
        <f t="shared" si="3"/>
        <v>22</v>
      </c>
      <c r="B37" s="1229" t="s">
        <v>323</v>
      </c>
      <c r="C37" s="569"/>
      <c r="D37" s="569"/>
      <c r="E37" s="569"/>
      <c r="F37" s="569"/>
      <c r="G37" s="569"/>
      <c r="H37" s="1228">
        <f t="shared" si="2"/>
        <v>0</v>
      </c>
      <c r="I37" s="30"/>
      <c r="J37" s="30"/>
      <c r="K37" s="30"/>
      <c r="L37" s="30"/>
    </row>
    <row r="38" spans="1:12">
      <c r="A38" s="1218">
        <f t="shared" si="3"/>
        <v>23</v>
      </c>
      <c r="B38" s="1229" t="s">
        <v>714</v>
      </c>
      <c r="C38" s="569"/>
      <c r="D38" s="569"/>
      <c r="E38" s="569"/>
      <c r="F38" s="569"/>
      <c r="G38" s="569"/>
      <c r="H38" s="1228">
        <f t="shared" si="2"/>
        <v>0</v>
      </c>
      <c r="I38" s="30"/>
      <c r="J38" s="30"/>
      <c r="K38" s="30"/>
      <c r="L38" s="30"/>
    </row>
    <row r="39" spans="1:12">
      <c r="A39" s="1218">
        <f t="shared" si="3"/>
        <v>24</v>
      </c>
      <c r="B39" s="1229" t="s">
        <v>326</v>
      </c>
      <c r="C39" s="569"/>
      <c r="D39" s="569"/>
      <c r="E39" s="569"/>
      <c r="F39" s="569"/>
      <c r="G39" s="569"/>
      <c r="H39" s="1228">
        <f t="shared" si="2"/>
        <v>0</v>
      </c>
      <c r="I39" s="30"/>
      <c r="J39" s="30"/>
      <c r="K39" s="30"/>
      <c r="L39" s="30"/>
    </row>
    <row r="40" spans="1:12">
      <c r="A40" s="1218">
        <f t="shared" si="3"/>
        <v>25</v>
      </c>
      <c r="B40" s="1229" t="s">
        <v>513</v>
      </c>
      <c r="C40" s="569"/>
      <c r="D40" s="569"/>
      <c r="E40" s="569"/>
      <c r="F40" s="569"/>
      <c r="G40" s="569"/>
      <c r="H40" s="1228">
        <f t="shared" si="2"/>
        <v>0</v>
      </c>
      <c r="I40" s="30"/>
      <c r="J40" s="30"/>
      <c r="K40" s="30"/>
      <c r="L40" s="30"/>
    </row>
    <row r="41" spans="1:12">
      <c r="A41" s="1218">
        <f t="shared" si="3"/>
        <v>26</v>
      </c>
      <c r="B41" s="1229" t="s">
        <v>514</v>
      </c>
      <c r="C41" s="569"/>
      <c r="D41" s="569"/>
      <c r="E41" s="569"/>
      <c r="F41" s="569"/>
      <c r="G41" s="569"/>
      <c r="H41" s="1228">
        <f t="shared" si="2"/>
        <v>0</v>
      </c>
      <c r="I41" s="30"/>
      <c r="J41" s="30"/>
      <c r="K41" s="30"/>
      <c r="L41" s="30"/>
    </row>
    <row r="42" spans="1:12">
      <c r="A42" s="1230">
        <f t="shared" si="3"/>
        <v>27</v>
      </c>
      <c r="B42" s="1231" t="s">
        <v>715</v>
      </c>
      <c r="C42" s="569">
        <v>0</v>
      </c>
      <c r="D42" s="569">
        <v>0</v>
      </c>
      <c r="E42" s="569">
        <v>0</v>
      </c>
      <c r="F42" s="569">
        <v>0</v>
      </c>
      <c r="G42" s="569"/>
      <c r="H42" s="1228">
        <f t="shared" si="2"/>
        <v>0</v>
      </c>
      <c r="I42" s="30"/>
      <c r="J42" s="30"/>
      <c r="K42" s="30"/>
      <c r="L42" s="30"/>
    </row>
    <row r="43" spans="1:12" ht="13.5" thickBot="1">
      <c r="A43" s="1819">
        <f t="shared" si="3"/>
        <v>28</v>
      </c>
      <c r="B43" s="1900" t="s">
        <v>1012</v>
      </c>
      <c r="C43" s="1901">
        <f t="shared" ref="C43:G43" si="4">SUM(C30:C42)/13</f>
        <v>0</v>
      </c>
      <c r="D43" s="1902">
        <f t="shared" si="4"/>
        <v>0</v>
      </c>
      <c r="E43" s="1902">
        <f t="shared" si="4"/>
        <v>0</v>
      </c>
      <c r="F43" s="1902">
        <f t="shared" si="4"/>
        <v>0</v>
      </c>
      <c r="G43" s="1902">
        <f t="shared" si="4"/>
        <v>0</v>
      </c>
      <c r="H43" s="1233">
        <f t="shared" ref="H43" si="5">AVERAGE(H30:H42)</f>
        <v>0</v>
      </c>
      <c r="I43" s="30"/>
      <c r="J43" s="30"/>
      <c r="K43" s="30"/>
      <c r="L43" s="30"/>
    </row>
    <row r="44" spans="1:12" ht="13.5" thickTop="1">
      <c r="A44" s="1208"/>
      <c r="B44" s="1237"/>
      <c r="C44"/>
      <c r="D44"/>
      <c r="E44"/>
      <c r="F44"/>
      <c r="G44"/>
      <c r="H44" s="1238"/>
      <c r="I44" s="30"/>
      <c r="J44" s="30"/>
      <c r="K44" s="30"/>
      <c r="L44" s="30"/>
    </row>
    <row r="45" spans="1:12" ht="12.75" customHeight="1">
      <c r="A45" s="4" t="s">
        <v>859</v>
      </c>
      <c r="F45" s="5"/>
      <c r="G45" s="5"/>
      <c r="H45" s="5"/>
      <c r="I45" s="30"/>
      <c r="J45" s="30"/>
      <c r="K45" s="30"/>
    </row>
    <row r="46" spans="1:12">
      <c r="E46" s="5"/>
      <c r="F46" s="5"/>
      <c r="G46" s="5"/>
      <c r="H46" s="5"/>
      <c r="J46" s="1237"/>
    </row>
    <row r="47" spans="1:12" ht="15">
      <c r="A47" s="6" t="s">
        <v>167</v>
      </c>
      <c r="E47" s="5"/>
      <c r="F47" s="5"/>
      <c r="G47" s="5"/>
      <c r="H47" s="1210"/>
    </row>
    <row r="48" spans="1:12" ht="25.5">
      <c r="A48" s="1212" t="s">
        <v>693</v>
      </c>
      <c r="B48" s="1240" t="s">
        <v>702</v>
      </c>
      <c r="C48" s="1240" t="s">
        <v>703</v>
      </c>
      <c r="D48" s="1241" t="s">
        <v>704</v>
      </c>
      <c r="E48" s="1240" t="s">
        <v>705</v>
      </c>
      <c r="F48" s="1241" t="s">
        <v>706</v>
      </c>
      <c r="G48" s="1240" t="s">
        <v>707</v>
      </c>
      <c r="H48" s="1240" t="s">
        <v>708</v>
      </c>
    </row>
    <row r="49" spans="1:12" ht="15">
      <c r="A49" s="6"/>
      <c r="B49" s="1240"/>
      <c r="C49" s="1240"/>
      <c r="D49" s="1241"/>
      <c r="E49" s="1240"/>
      <c r="F49" s="1241"/>
      <c r="G49" s="1240"/>
      <c r="H49" s="1240"/>
    </row>
    <row r="50" spans="1:12">
      <c r="A50" s="7">
        <f>+A43+1</f>
        <v>29</v>
      </c>
      <c r="B50" s="8" t="str">
        <f>"Annual Interest Expense for "&amp;'SWT TCOS'!N2</f>
        <v>Annual Interest Expense for 2022</v>
      </c>
      <c r="C50" s="9"/>
      <c r="D50" s="10"/>
      <c r="E50" s="14"/>
      <c r="F50" s="14"/>
      <c r="G50" s="14"/>
      <c r="H50" s="14"/>
      <c r="I50" s="14"/>
      <c r="J50" s="14"/>
      <c r="K50" s="14"/>
      <c r="L50" s="14"/>
    </row>
    <row r="51" spans="1:12">
      <c r="A51" s="7">
        <f t="shared" ref="A51:A58" si="6">+A50+1</f>
        <v>30</v>
      </c>
      <c r="B51" s="11" t="s">
        <v>603</v>
      </c>
      <c r="C51" s="9"/>
      <c r="D51" s="10"/>
      <c r="E51" s="569">
        <v>0</v>
      </c>
      <c r="F51"/>
      <c r="G51" s="14"/>
      <c r="H51" s="14"/>
      <c r="I51" s="14"/>
      <c r="J51" s="14"/>
      <c r="K51" s="14"/>
      <c r="L51" s="14"/>
    </row>
    <row r="52" spans="1:12" ht="28.5" customHeight="1">
      <c r="A52" s="7">
        <f t="shared" si="6"/>
        <v>31</v>
      </c>
      <c r="B52" s="2269" t="str">
        <f>"Less: Total Hedge Gain/Expense Accumulated from p 256-257, col. (i) of FERC Form 1  included in Ln "&amp;A51&amp;" and shown in "&amp;A76&amp;" below."</f>
        <v>Less: Total Hedge Gain/Expense Accumulated from p 256-257, col. (i) of FERC Form 1  included in Ln 30 and shown in 50 below.</v>
      </c>
      <c r="C52" s="2270"/>
      <c r="D52" s="10"/>
      <c r="E52" s="9">
        <f>+C76</f>
        <v>0</v>
      </c>
      <c r="F52"/>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42">
        <f>+E82</f>
        <v>-837.18242119230763</v>
      </c>
      <c r="F53"/>
      <c r="G53" s="14"/>
      <c r="H53" s="14"/>
      <c r="I53" s="14"/>
      <c r="J53" s="14"/>
      <c r="K53" s="14"/>
      <c r="L53" s="14"/>
    </row>
    <row r="54" spans="1:12">
      <c r="A54" s="7">
        <f t="shared" si="6"/>
        <v>33</v>
      </c>
      <c r="B54" s="11" t="s">
        <v>644</v>
      </c>
      <c r="C54" s="13"/>
      <c r="D54" s="14"/>
      <c r="E54" s="569">
        <v>0</v>
      </c>
      <c r="F54"/>
      <c r="G54" s="14"/>
      <c r="H54" s="14"/>
      <c r="I54" s="14"/>
      <c r="J54" s="14"/>
    </row>
    <row r="55" spans="1:12">
      <c r="A55" s="7">
        <f t="shared" si="6"/>
        <v>34</v>
      </c>
      <c r="B55" s="11" t="s">
        <v>645</v>
      </c>
      <c r="C55" s="15"/>
      <c r="D55" s="10"/>
      <c r="E55" s="569">
        <v>0</v>
      </c>
      <c r="F55"/>
      <c r="G55" s="14"/>
      <c r="H55" s="14"/>
      <c r="I55" s="14"/>
      <c r="J55" s="14"/>
    </row>
    <row r="56" spans="1:12">
      <c r="A56" s="7">
        <f t="shared" si="6"/>
        <v>35</v>
      </c>
      <c r="B56" s="11" t="s">
        <v>646</v>
      </c>
      <c r="C56" s="15"/>
      <c r="D56" s="10"/>
      <c r="E56" s="569">
        <v>0</v>
      </c>
      <c r="F56"/>
      <c r="G56" s="14"/>
      <c r="H56" s="14"/>
      <c r="I56" s="14"/>
      <c r="J56" s="14"/>
    </row>
    <row r="57" spans="1:12">
      <c r="A57" s="7">
        <f t="shared" si="6"/>
        <v>36</v>
      </c>
      <c r="B57" s="11" t="s">
        <v>647</v>
      </c>
      <c r="C57" s="15"/>
      <c r="D57" s="10"/>
      <c r="E57" s="569">
        <v>0</v>
      </c>
      <c r="F57"/>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-837.18242119230763</v>
      </c>
      <c r="F58"/>
      <c r="G58" s="14"/>
      <c r="H58" s="14"/>
      <c r="I58" s="14"/>
      <c r="J58" s="14"/>
    </row>
    <row r="59" spans="1:12" ht="13.5" thickBot="1">
      <c r="A59" s="7"/>
      <c r="B59" s="19"/>
      <c r="C59" s="15"/>
      <c r="D59" s="10"/>
      <c r="E59" s="18"/>
      <c r="F59" s="2145"/>
      <c r="G59" s="14"/>
      <c r="H59" s="14"/>
      <c r="I59" s="14"/>
      <c r="J59" s="14"/>
    </row>
    <row r="60" spans="1:12" ht="13.5" thickBot="1">
      <c r="A60" s="7">
        <f>+A58+1</f>
        <v>38</v>
      </c>
      <c r="B60" s="8" t="str">
        <f>"Average Cost of Debt for "&amp;'SWT TCOS'!N2&amp;" (Ln "&amp;A58&amp;"/ ln "&amp;A43&amp;" (g))"</f>
        <v>Average Cost of Debt for 2022 (Ln 37/ ln 28 (g))</v>
      </c>
      <c r="C60" s="16"/>
      <c r="D60" s="10"/>
      <c r="E60" s="20">
        <f>IF(ISERROR(+E58/H43),0,E58/H43)</f>
        <v>0</v>
      </c>
      <c r="F60" s="14"/>
      <c r="G60" s="14"/>
      <c r="H60" s="14"/>
      <c r="I60" s="14"/>
      <c r="J60" s="14"/>
    </row>
    <row r="61" spans="1:12">
      <c r="A61" s="21"/>
      <c r="B61" s="19"/>
      <c r="C61" s="15"/>
      <c r="D61" s="10"/>
      <c r="E61" s="15"/>
      <c r="F61" s="14"/>
      <c r="G61" s="14"/>
      <c r="H61" s="14"/>
      <c r="I61" s="14"/>
      <c r="J61" s="14"/>
    </row>
    <row r="62" spans="1:12" s="25" customFormat="1" ht="28.5" customHeight="1">
      <c r="A62" s="22"/>
      <c r="B62" s="2271" t="s">
        <v>860</v>
      </c>
      <c r="C62" s="2271"/>
      <c r="D62" s="2271"/>
      <c r="E62" s="2271"/>
      <c r="F62" s="23"/>
      <c r="G62" s="24"/>
    </row>
    <row r="63" spans="1:12" s="25" customFormat="1" ht="65.25" customHeight="1">
      <c r="A63" s="46">
        <f>+A60+1</f>
        <v>39</v>
      </c>
      <c r="B63" s="2268" t="s">
        <v>861</v>
      </c>
      <c r="C63" s="2268"/>
      <c r="D63" s="2268"/>
      <c r="E63" s="2268"/>
      <c r="F63" s="2268"/>
      <c r="G63" s="2268"/>
      <c r="H63" s="2268"/>
    </row>
    <row r="64" spans="1:12" s="25" customFormat="1" ht="12" customHeight="1">
      <c r="A64" s="22"/>
      <c r="B64" s="26"/>
      <c r="C64" s="26"/>
      <c r="D64" s="26"/>
      <c r="E64" s="26"/>
      <c r="F64" s="24"/>
      <c r="G64" s="2272" t="s">
        <v>862</v>
      </c>
      <c r="H64" s="2272"/>
    </row>
    <row r="65" spans="1:10" s="25" customFormat="1" ht="52.5" customHeight="1">
      <c r="A65" s="7"/>
      <c r="B65" s="28" t="s">
        <v>863</v>
      </c>
      <c r="C65" s="50" t="str">
        <f>"Total Hedge (Gain)/Loss for "&amp;'SWT TCOS'!N2</f>
        <v>Total Hedge (Gain)/Loss for 2022</v>
      </c>
      <c r="D65" s="50" t="str">
        <f>"Less Excludable Amounts (See NOTE on Line "&amp;A63&amp;")"</f>
        <v>Less Excludable Amounts (See NOTE on Line 39)</v>
      </c>
      <c r="E65" s="50" t="s">
        <v>864</v>
      </c>
      <c r="F65" s="50" t="s">
        <v>865</v>
      </c>
      <c r="G65" s="50" t="s">
        <v>459</v>
      </c>
      <c r="H65" s="50" t="s">
        <v>461</v>
      </c>
    </row>
    <row r="66" spans="1:10" s="25" customFormat="1" ht="12.75" customHeight="1">
      <c r="A66" s="7">
        <f>+A63+1</f>
        <v>40</v>
      </c>
      <c r="B66" s="1243"/>
      <c r="C66" s="1244"/>
      <c r="D66" s="569"/>
      <c r="E66" s="29">
        <f t="shared" ref="E66:E74" si="7">+C66-D66</f>
        <v>0</v>
      </c>
      <c r="F66" s="569"/>
      <c r="G66" s="569"/>
      <c r="H66" s="569"/>
      <c r="I66" s="30"/>
      <c r="J66" s="30"/>
    </row>
    <row r="67" spans="1:10" s="25" customFormat="1" ht="12.75" customHeight="1">
      <c r="A67" s="7">
        <f t="shared" ref="A67:A76" si="8">+A66+1</f>
        <v>41</v>
      </c>
      <c r="B67" s="1243"/>
      <c r="C67" s="1244"/>
      <c r="D67" s="569"/>
      <c r="E67" s="29">
        <f t="shared" si="7"/>
        <v>0</v>
      </c>
      <c r="F67" s="569"/>
      <c r="G67" s="569"/>
      <c r="H67" s="569"/>
    </row>
    <row r="68" spans="1:10" s="25" customFormat="1" ht="12.75" customHeight="1">
      <c r="A68" s="7">
        <f t="shared" si="8"/>
        <v>42</v>
      </c>
      <c r="B68" s="569"/>
      <c r="C68" s="569"/>
      <c r="D68" s="569"/>
      <c r="E68" s="29">
        <f t="shared" si="7"/>
        <v>0</v>
      </c>
      <c r="F68" s="569"/>
      <c r="G68" s="569"/>
      <c r="H68" s="569"/>
    </row>
    <row r="69" spans="1:10" s="25" customFormat="1" ht="12.75" customHeight="1">
      <c r="A69" s="7">
        <f t="shared" si="8"/>
        <v>43</v>
      </c>
      <c r="B69" s="569"/>
      <c r="C69" s="569"/>
      <c r="D69" s="569"/>
      <c r="E69" s="29">
        <f t="shared" si="7"/>
        <v>0</v>
      </c>
      <c r="F69" s="569"/>
      <c r="G69" s="569"/>
      <c r="H69" s="569"/>
    </row>
    <row r="70" spans="1:10" s="25" customFormat="1" ht="12.75" customHeight="1">
      <c r="A70" s="7">
        <f t="shared" si="8"/>
        <v>44</v>
      </c>
      <c r="B70" s="569"/>
      <c r="C70" s="569"/>
      <c r="D70" s="569"/>
      <c r="E70" s="29">
        <f t="shared" si="7"/>
        <v>0</v>
      </c>
      <c r="F70" s="569"/>
      <c r="G70" s="569"/>
      <c r="H70" s="569"/>
    </row>
    <row r="71" spans="1:10" s="25" customFormat="1" ht="12.75" customHeight="1">
      <c r="A71" s="7">
        <f t="shared" si="8"/>
        <v>45</v>
      </c>
      <c r="B71" s="569"/>
      <c r="C71" s="569"/>
      <c r="D71" s="569"/>
      <c r="E71" s="29">
        <f t="shared" si="7"/>
        <v>0</v>
      </c>
      <c r="F71" s="569"/>
      <c r="G71" s="569"/>
      <c r="H71" s="569"/>
    </row>
    <row r="72" spans="1:10" s="25" customFormat="1" ht="12.75" customHeight="1">
      <c r="A72" s="7">
        <f t="shared" si="8"/>
        <v>46</v>
      </c>
      <c r="B72" s="569"/>
      <c r="C72" s="569"/>
      <c r="D72" s="569"/>
      <c r="E72" s="29">
        <f t="shared" si="7"/>
        <v>0</v>
      </c>
      <c r="F72" s="569"/>
      <c r="G72" s="569"/>
      <c r="H72" s="569"/>
    </row>
    <row r="73" spans="1:10" s="25" customFormat="1" ht="12.75" customHeight="1">
      <c r="A73" s="7">
        <f t="shared" si="8"/>
        <v>47</v>
      </c>
      <c r="B73" s="569"/>
      <c r="C73" s="569"/>
      <c r="D73" s="569"/>
      <c r="E73" s="29">
        <f t="shared" si="7"/>
        <v>0</v>
      </c>
      <c r="F73" s="569"/>
      <c r="G73" s="569"/>
      <c r="H73" s="569"/>
    </row>
    <row r="74" spans="1:10" s="25" customFormat="1" ht="12.75" customHeight="1">
      <c r="A74" s="7">
        <f t="shared" si="8"/>
        <v>48</v>
      </c>
      <c r="B74" s="569"/>
      <c r="C74" s="569"/>
      <c r="D74" s="569"/>
      <c r="E74" s="29">
        <f t="shared" si="7"/>
        <v>0</v>
      </c>
      <c r="F74" s="569"/>
      <c r="G74" s="569"/>
      <c r="H74" s="569"/>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168</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"&amp;'SWT TCOS'!N2&amp;" (TCOS, Ln "&amp;'SWT TCOS'!B238&amp;")"</f>
        <v>Total Average Capital Structure Balance for 2022 (TCOS, Ln 144)</v>
      </c>
      <c r="C79" s="15"/>
      <c r="D79" s="10"/>
      <c r="E79" s="35">
        <f>+'SWT TCOS'!E238</f>
        <v>-1674364.8423846152</v>
      </c>
      <c r="F79" s="24"/>
      <c r="G79" s="24"/>
      <c r="H79" s="36"/>
    </row>
    <row r="80" spans="1:10" s="25" customFormat="1" ht="12.75" customHeight="1">
      <c r="A80" s="7">
        <f>+A79+1</f>
        <v>53</v>
      </c>
      <c r="B80" s="19" t="s">
        <v>169</v>
      </c>
      <c r="C80" s="15"/>
      <c r="D80" s="10"/>
      <c r="E80" s="37">
        <v>5.0000000000000001E-4</v>
      </c>
      <c r="F80" s="24"/>
      <c r="G80" s="38"/>
    </row>
    <row r="81" spans="1:7" s="25" customFormat="1" ht="12.75" customHeight="1" thickBot="1">
      <c r="A81" s="7">
        <f>+A80+1</f>
        <v>54</v>
      </c>
      <c r="B81" s="19" t="s">
        <v>170</v>
      </c>
      <c r="C81" s="15"/>
      <c r="D81" s="10"/>
      <c r="E81" s="39">
        <f>+E79*E80</f>
        <v>-837.18242119230763</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-837.18242119230763</v>
      </c>
      <c r="F82" s="24"/>
      <c r="G82" s="24"/>
    </row>
    <row r="83" spans="1:7" s="25" customFormat="1" ht="12.75" customHeight="1">
      <c r="A83" s="7"/>
      <c r="B83" s="19"/>
      <c r="C83" s="15"/>
      <c r="D83" s="10"/>
      <c r="E83" s="15"/>
      <c r="F83" s="24"/>
      <c r="G83" s="24"/>
    </row>
    <row r="84" spans="1:7" s="25" customFormat="1" ht="12.75" customHeight="1">
      <c r="A84" s="41" t="s">
        <v>171</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1"/>
      <c r="D86" s="131"/>
      <c r="E86" s="43">
        <f>+D24</f>
        <v>0</v>
      </c>
      <c r="F86" s="10"/>
      <c r="G86" s="24"/>
    </row>
    <row r="87" spans="1:7" s="25" customFormat="1" ht="12.75" customHeight="1" thickBot="1">
      <c r="A87" s="7">
        <f>+A86+1</f>
        <v>57</v>
      </c>
      <c r="B87" s="10" t="s">
        <v>866</v>
      </c>
      <c r="C87" s="131"/>
      <c r="D87" s="131"/>
      <c r="E87" s="569"/>
      <c r="F87" s="24"/>
      <c r="G87" s="24"/>
    </row>
    <row r="88" spans="1:7" s="25" customFormat="1" ht="12.75" customHeight="1" thickBot="1">
      <c r="A88" s="7">
        <f>+A87+1</f>
        <v>58</v>
      </c>
      <c r="B88" s="45" t="str">
        <f>"Average Cost of Preferred Stock (Ln "&amp;A87&amp;"/ Ln "&amp;A86&amp;")"</f>
        <v>Average Cost of Preferred Stock (Ln 57/ Ln 56)</v>
      </c>
      <c r="C88" s="131"/>
      <c r="D88" s="131"/>
      <c r="E88" s="20">
        <f>IF(E86=0,0,+E87/E86)</f>
        <v>0</v>
      </c>
      <c r="F88" s="24"/>
      <c r="G88" s="24"/>
    </row>
    <row r="89" spans="1:7">
      <c r="C89" s="131"/>
      <c r="D89" s="131"/>
    </row>
    <row r="130" spans="7:7">
      <c r="G130" s="1207" t="s">
        <v>251</v>
      </c>
    </row>
    <row r="147" spans="7:12">
      <c r="G147" s="1245"/>
      <c r="L147" s="1245"/>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&amp;RAEP - SPP Transco Formula Rate
TCOS - WS M 
Page: &amp;P of &amp;N
</oddHeader>
  </headerFooter>
  <rowBreaks count="1" manualBreakCount="1">
    <brk id="45" max="1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T73"/>
  <sheetViews>
    <sheetView zoomScaleNormal="100" workbookViewId="0">
      <selection activeCell="D11" sqref="D11"/>
    </sheetView>
  </sheetViews>
  <sheetFormatPr defaultColWidth="9.28515625" defaultRowHeight="12.75"/>
  <cols>
    <col min="1" max="1" width="1.7109375" style="394" customWidth="1"/>
    <col min="2" max="2" width="25.28515625" style="394" customWidth="1"/>
    <col min="3" max="3" width="1.7109375" style="394" customWidth="1"/>
    <col min="4" max="4" width="21.28515625" style="394" customWidth="1"/>
    <col min="5" max="5" width="1.7109375" style="394" customWidth="1"/>
    <col min="6" max="6" width="22.28515625" style="394" customWidth="1"/>
    <col min="7" max="7" width="1.7109375" style="394" customWidth="1"/>
    <col min="8" max="8" width="17.28515625" style="394" customWidth="1"/>
    <col min="9" max="9" width="1.7109375" style="394" customWidth="1"/>
    <col min="10" max="10" width="15.5703125" style="394" customWidth="1"/>
    <col min="11" max="11" width="1.7109375" style="394" customWidth="1"/>
    <col min="12" max="12" width="15.7109375" style="394" customWidth="1"/>
    <col min="13" max="13" width="1.7109375" style="394" customWidth="1"/>
    <col min="14" max="14" width="13.5703125" style="394" customWidth="1"/>
    <col min="15" max="15" width="1.7109375" style="394" customWidth="1"/>
    <col min="16" max="16" width="14.28515625" style="394" customWidth="1"/>
    <col min="17" max="17" width="1.7109375" style="394" customWidth="1"/>
    <col min="18" max="18" width="14.42578125" style="394" customWidth="1"/>
    <col min="19" max="19" width="7.7109375" style="394" bestFit="1" customWidth="1"/>
    <col min="20" max="20" width="3" style="394" hidden="1" customWidth="1"/>
    <col min="21" max="16384" width="9.28515625" style="394"/>
  </cols>
  <sheetData>
    <row r="1" spans="1:18" ht="15">
      <c r="A1" s="1246"/>
    </row>
    <row r="2" spans="1:18" ht="15.75">
      <c r="A2" s="1247"/>
    </row>
    <row r="3" spans="1:18" ht="15.75">
      <c r="A3" s="1247"/>
    </row>
    <row r="4" spans="1:18" ht="15.75">
      <c r="B4" s="2280" t="str">
        <f>+'SWT TCOS'!F4</f>
        <v xml:space="preserve">AEP West SPP Member Transmission Companies </v>
      </c>
      <c r="C4" s="2280"/>
      <c r="D4" s="2280"/>
      <c r="E4" s="2280"/>
      <c r="F4" s="2280"/>
      <c r="G4" s="2280"/>
      <c r="H4" s="2280"/>
      <c r="I4" s="2280"/>
      <c r="J4" s="2280"/>
      <c r="K4" s="2280"/>
      <c r="L4" s="2280"/>
      <c r="M4" s="2280"/>
      <c r="N4" s="2280"/>
      <c r="O4" s="2280"/>
      <c r="P4" s="2280"/>
      <c r="Q4" s="2280"/>
      <c r="R4" s="2280"/>
    </row>
    <row r="5" spans="1:18" ht="15.75">
      <c r="B5" s="2281" t="str">
        <f>+'SWT WS A-1 - Plant'!A3</f>
        <v xml:space="preserve">Actual / Projected 2022 Rate Year Cost of Service Formula Rate </v>
      </c>
      <c r="C5" s="2281"/>
      <c r="D5" s="2281"/>
      <c r="E5" s="2281"/>
      <c r="F5" s="2281"/>
      <c r="G5" s="2281"/>
      <c r="H5" s="2281"/>
      <c r="I5" s="2281"/>
      <c r="J5" s="2281"/>
      <c r="K5" s="2281"/>
      <c r="L5" s="2281"/>
      <c r="M5" s="2281"/>
      <c r="N5" s="2281"/>
      <c r="O5" s="2281"/>
      <c r="P5" s="2281"/>
      <c r="Q5" s="2281"/>
      <c r="R5" s="2281"/>
    </row>
    <row r="6" spans="1:18" ht="15.75">
      <c r="B6" s="2281" t="s">
        <v>669</v>
      </c>
      <c r="C6" s="2281"/>
      <c r="D6" s="2281"/>
      <c r="E6" s="2281"/>
      <c r="F6" s="2281"/>
      <c r="G6" s="2281"/>
      <c r="H6" s="2281"/>
      <c r="I6" s="2281"/>
      <c r="J6" s="2281"/>
      <c r="K6" s="2281"/>
      <c r="L6" s="2281"/>
      <c r="M6" s="2281"/>
      <c r="N6" s="2281"/>
      <c r="O6" s="2281"/>
      <c r="P6" s="2281"/>
      <c r="Q6" s="2281"/>
      <c r="R6" s="2281"/>
    </row>
    <row r="7" spans="1:18" ht="15.75">
      <c r="B7" s="2243" t="str">
        <f>+'SWT TCOS'!F8</f>
        <v>AEP SOUTHWESTERN TRANSMISSION COMPANY</v>
      </c>
      <c r="C7" s="2281"/>
      <c r="D7" s="2281"/>
      <c r="E7" s="2281"/>
      <c r="F7" s="2281"/>
      <c r="G7" s="2281"/>
      <c r="H7" s="2281"/>
      <c r="I7" s="2281"/>
      <c r="J7" s="2281"/>
      <c r="K7" s="2281"/>
      <c r="L7" s="2281"/>
      <c r="M7" s="2281"/>
      <c r="N7" s="2281"/>
      <c r="O7" s="2281"/>
      <c r="P7" s="2281"/>
      <c r="Q7" s="2281"/>
      <c r="R7" s="2281"/>
    </row>
    <row r="8" spans="1:18" ht="16.5" thickBot="1">
      <c r="B8" s="1248"/>
      <c r="C8" s="1249"/>
      <c r="D8" s="1249"/>
      <c r="E8" s="1249"/>
      <c r="F8" s="1249"/>
      <c r="G8" s="1249"/>
      <c r="H8" s="1249"/>
      <c r="I8" s="1249"/>
      <c r="J8" s="1249"/>
      <c r="K8" s="1249"/>
      <c r="P8" s="1249"/>
      <c r="Q8" s="1249"/>
      <c r="R8" s="1249"/>
    </row>
    <row r="9" spans="1:18" ht="60.75" customHeight="1">
      <c r="B9" s="1250" t="str">
        <f>"True up Revenue Requirement For Year "&amp;J9&amp;" Available May, "&amp;J10&amp; " Net of Schedule 11 Revenue Credits"</f>
        <v>True up Revenue Requirement For Year 2022 Available May, 2023 Net of Schedule 11 Revenue Credits</v>
      </c>
      <c r="C9" s="1249"/>
      <c r="D9" s="1250" t="s">
        <v>913</v>
      </c>
      <c r="E9" s="1251"/>
      <c r="F9" s="1252" t="s">
        <v>670</v>
      </c>
      <c r="G9" s="404"/>
      <c r="H9" s="1253" t="s">
        <v>671</v>
      </c>
      <c r="I9" s="1249"/>
      <c r="J9" s="1254">
        <f>+'SWT TCOS'!N2</f>
        <v>2022</v>
      </c>
      <c r="K9" s="1249"/>
      <c r="P9" s="404"/>
      <c r="Q9" s="404"/>
      <c r="R9" s="404"/>
    </row>
    <row r="10" spans="1:18" ht="15.75">
      <c r="B10" s="1255" t="s">
        <v>251</v>
      </c>
      <c r="C10" s="1249"/>
      <c r="D10" s="1255"/>
      <c r="E10" s="1251"/>
      <c r="F10" s="1256"/>
      <c r="G10" s="404"/>
      <c r="H10" s="1257" t="s">
        <v>672</v>
      </c>
      <c r="I10" s="1258"/>
      <c r="J10" s="1259">
        <f>J9+1</f>
        <v>2023</v>
      </c>
      <c r="P10" s="404"/>
      <c r="Q10" s="404"/>
      <c r="R10" s="404"/>
    </row>
    <row r="11" spans="1:18" ht="16.5" thickBot="1">
      <c r="B11" s="1260"/>
      <c r="C11" s="1261" t="s">
        <v>673</v>
      </c>
      <c r="D11" s="1260"/>
      <c r="E11" s="1262" t="s">
        <v>674</v>
      </c>
      <c r="F11" s="1263">
        <f>IF(B11=0,0,D11-B11)</f>
        <v>0</v>
      </c>
      <c r="G11" s="1264"/>
      <c r="H11" s="1265" t="s">
        <v>675</v>
      </c>
      <c r="I11" s="1266"/>
      <c r="J11" s="1267">
        <f>J10+1</f>
        <v>2024</v>
      </c>
      <c r="P11" s="404"/>
      <c r="Q11" s="404"/>
      <c r="R11" s="404"/>
    </row>
    <row r="12" spans="1:18" ht="15.75">
      <c r="B12" s="1266"/>
      <c r="C12" s="1268"/>
      <c r="D12" s="1266"/>
      <c r="E12" s="1266"/>
      <c r="F12" s="1266"/>
      <c r="G12" s="1266"/>
      <c r="H12" s="404"/>
      <c r="I12" s="404"/>
      <c r="P12" s="404"/>
      <c r="Q12" s="404"/>
      <c r="R12" s="404"/>
    </row>
    <row r="13" spans="1:18" ht="16.5" thickBot="1">
      <c r="B13" s="1269"/>
      <c r="C13" s="1270"/>
      <c r="D13" s="1269"/>
      <c r="E13" s="1269"/>
      <c r="F13" s="1269"/>
      <c r="G13" s="1269"/>
      <c r="H13" s="1269"/>
      <c r="I13" s="1269"/>
      <c r="J13" s="1269"/>
      <c r="K13" s="1269"/>
      <c r="L13" s="1269"/>
      <c r="M13" s="1269"/>
      <c r="N13" s="1272"/>
      <c r="O13" s="1272"/>
      <c r="P13" s="1272"/>
      <c r="Q13" s="1272"/>
      <c r="R13" s="1272"/>
    </row>
    <row r="14" spans="1:18" ht="15.75">
      <c r="B14" s="1273"/>
      <c r="C14" s="1268"/>
      <c r="D14" s="1266"/>
      <c r="E14" s="1266"/>
      <c r="F14" s="1266"/>
      <c r="G14" s="1266"/>
      <c r="H14" s="1266"/>
      <c r="I14" s="1266"/>
      <c r="J14" s="1266"/>
      <c r="K14" s="1266"/>
      <c r="L14" s="1266"/>
      <c r="M14" s="1266"/>
      <c r="N14" s="404"/>
      <c r="O14" s="404"/>
      <c r="P14" s="404"/>
      <c r="Q14" s="404"/>
      <c r="R14" s="404"/>
    </row>
    <row r="15" spans="1:18" ht="63">
      <c r="B15" s="1274" t="s">
        <v>676</v>
      </c>
      <c r="C15" s="1268"/>
      <c r="D15" s="1275" t="s">
        <v>677</v>
      </c>
      <c r="E15" s="1275"/>
      <c r="F15" s="1275" t="s">
        <v>678</v>
      </c>
      <c r="G15" s="1275"/>
      <c r="H15" s="1275" t="s">
        <v>679</v>
      </c>
      <c r="I15" s="1266"/>
      <c r="J15" s="1276" t="s">
        <v>680</v>
      </c>
      <c r="K15" s="1266"/>
      <c r="L15" s="1275" t="s">
        <v>896</v>
      </c>
      <c r="M15" s="1277"/>
      <c r="N15" s="1276" t="s">
        <v>681</v>
      </c>
      <c r="O15" s="1276"/>
      <c r="P15" s="1275" t="s">
        <v>682</v>
      </c>
      <c r="Q15" s="1278"/>
      <c r="R15" s="1275" t="s">
        <v>683</v>
      </c>
    </row>
    <row r="16" spans="1:18" ht="15.75">
      <c r="B16" s="1279"/>
      <c r="C16" s="1268"/>
      <c r="D16" s="404"/>
      <c r="E16" s="404"/>
      <c r="F16" s="404"/>
      <c r="G16" s="404"/>
      <c r="H16" s="404"/>
      <c r="I16" s="1820"/>
      <c r="J16" s="1820"/>
      <c r="K16" s="1820"/>
      <c r="N16" s="404"/>
      <c r="O16" s="404"/>
      <c r="P16" s="404"/>
      <c r="Q16" s="404"/>
      <c r="R16" s="404"/>
    </row>
    <row r="17" spans="2:20" ht="15.75">
      <c r="B17" s="1281" t="s">
        <v>684</v>
      </c>
      <c r="C17" s="1268"/>
      <c r="D17" s="1268"/>
      <c r="E17" s="1268"/>
      <c r="F17" s="1268"/>
      <c r="G17" s="1268"/>
      <c r="H17" s="1268"/>
      <c r="I17" s="1268"/>
      <c r="J17" s="1268"/>
      <c r="K17" s="1268"/>
      <c r="L17" s="404"/>
      <c r="M17" s="404"/>
      <c r="N17" s="1277"/>
      <c r="O17" s="1277"/>
      <c r="P17" s="1268"/>
      <c r="Q17" s="1268"/>
      <c r="R17" s="1268"/>
    </row>
    <row r="18" spans="2:20" ht="15.75">
      <c r="B18" s="1282" t="s">
        <v>124</v>
      </c>
      <c r="C18" s="1268"/>
      <c r="D18" s="1268"/>
      <c r="E18" s="1268"/>
      <c r="F18" s="1268"/>
      <c r="G18" s="1268"/>
      <c r="H18" s="1268"/>
      <c r="I18" s="1268"/>
      <c r="J18" s="1268"/>
      <c r="K18" s="1268"/>
      <c r="L18" s="404"/>
      <c r="M18" s="404"/>
      <c r="N18" s="1277"/>
      <c r="O18" s="1277"/>
      <c r="P18" s="1268"/>
      <c r="Q18" s="1268"/>
      <c r="R18" s="1268"/>
    </row>
    <row r="19" spans="2:20" ht="15.75">
      <c r="B19" s="1283">
        <f t="shared" ref="B19:B30" si="0">DATE($J$9,T19,1)</f>
        <v>44562</v>
      </c>
      <c r="C19" s="1249"/>
      <c r="D19" s="1821">
        <f>F11/12</f>
        <v>0</v>
      </c>
      <c r="E19" s="1822"/>
      <c r="F19" s="1821">
        <v>0</v>
      </c>
      <c r="G19" s="1821"/>
      <c r="H19" s="1821">
        <v>0</v>
      </c>
      <c r="I19" s="1821"/>
      <c r="J19" s="1821">
        <f>F19+H19</f>
        <v>0</v>
      </c>
      <c r="K19" s="1822"/>
      <c r="L19" s="1286">
        <f>+'SWT WS Q Interest Rate'!E13</f>
        <v>2.8E-3</v>
      </c>
      <c r="M19" s="1287"/>
      <c r="N19" s="1821">
        <f t="shared" ref="N19:N30" si="1">J19*L19</f>
        <v>0</v>
      </c>
      <c r="O19" s="1821"/>
      <c r="P19" s="1821"/>
      <c r="Q19" s="1821"/>
      <c r="R19" s="1821">
        <f>D19+N19</f>
        <v>0</v>
      </c>
      <c r="T19" s="394">
        <v>1</v>
      </c>
    </row>
    <row r="20" spans="2:20" ht="15.75">
      <c r="B20" s="1283">
        <f t="shared" si="0"/>
        <v>44593</v>
      </c>
      <c r="C20" s="1249"/>
      <c r="D20" s="1821">
        <f>+D19</f>
        <v>0</v>
      </c>
      <c r="E20" s="1822"/>
      <c r="F20" s="1821">
        <f>D19</f>
        <v>0</v>
      </c>
      <c r="G20" s="1821"/>
      <c r="H20" s="1821">
        <v>0</v>
      </c>
      <c r="I20" s="1821"/>
      <c r="J20" s="1821">
        <f t="shared" ref="J20:J29" si="2">F20+H20</f>
        <v>0</v>
      </c>
      <c r="K20" s="1822"/>
      <c r="L20" s="1286">
        <f>+'SWT WS Q Interest Rate'!E14</f>
        <v>2.5000000000000001E-3</v>
      </c>
      <c r="M20" s="1287"/>
      <c r="N20" s="1821">
        <f t="shared" si="1"/>
        <v>0</v>
      </c>
      <c r="O20" s="1821"/>
      <c r="P20" s="1821"/>
      <c r="Q20" s="1821"/>
      <c r="R20" s="1821">
        <f>SUM($D$19:D20)+SUM($N$19:N20)</f>
        <v>0</v>
      </c>
      <c r="T20" s="394">
        <v>2</v>
      </c>
    </row>
    <row r="21" spans="2:20" ht="15.75">
      <c r="B21" s="1283">
        <f t="shared" si="0"/>
        <v>44621</v>
      </c>
      <c r="C21" s="1249"/>
      <c r="D21" s="1821">
        <f>+D20</f>
        <v>0</v>
      </c>
      <c r="E21" s="1822"/>
      <c r="F21" s="1821">
        <f>D20+F20</f>
        <v>0</v>
      </c>
      <c r="G21" s="1821"/>
      <c r="H21" s="1821">
        <v>0</v>
      </c>
      <c r="I21" s="1821"/>
      <c r="J21" s="1821">
        <f t="shared" si="2"/>
        <v>0</v>
      </c>
      <c r="K21" s="1822"/>
      <c r="L21" s="1286">
        <f>+'SWT WS Q Interest Rate'!E15</f>
        <v>2.8E-3</v>
      </c>
      <c r="M21" s="1287"/>
      <c r="N21" s="1821">
        <f t="shared" si="1"/>
        <v>0</v>
      </c>
      <c r="O21" s="1821"/>
      <c r="P21" s="1821"/>
      <c r="Q21" s="1821"/>
      <c r="R21" s="1821">
        <f>SUM($D$19:D21)+SUM($N$19:N21)</f>
        <v>0</v>
      </c>
      <c r="T21" s="394">
        <v>3</v>
      </c>
    </row>
    <row r="22" spans="2:20" ht="15.75">
      <c r="B22" s="1283">
        <f t="shared" si="0"/>
        <v>44652</v>
      </c>
      <c r="C22" s="1249"/>
      <c r="D22" s="1821">
        <f>+D21</f>
        <v>0</v>
      </c>
      <c r="E22" s="1822"/>
      <c r="F22" s="1821">
        <f t="shared" ref="F22:F28" si="3">D21+F21</f>
        <v>0</v>
      </c>
      <c r="G22" s="1821"/>
      <c r="H22" s="1821">
        <f>SUM($N$19:$N$21)</f>
        <v>0</v>
      </c>
      <c r="I22" s="1821"/>
      <c r="J22" s="1821">
        <f t="shared" si="2"/>
        <v>0</v>
      </c>
      <c r="K22" s="1822"/>
      <c r="L22" s="1286">
        <f>+'SWT WS Q Interest Rate'!E16</f>
        <v>2.7000000000000001E-3</v>
      </c>
      <c r="M22" s="1287"/>
      <c r="N22" s="1821">
        <f t="shared" si="1"/>
        <v>0</v>
      </c>
      <c r="O22" s="1821"/>
      <c r="P22" s="1821"/>
      <c r="Q22" s="1821"/>
      <c r="R22" s="1821">
        <f>SUM($D$19:D22)+SUM($N$19:N22)</f>
        <v>0</v>
      </c>
      <c r="T22" s="394">
        <v>4</v>
      </c>
    </row>
    <row r="23" spans="2:20" ht="15.75">
      <c r="B23" s="1283">
        <f t="shared" si="0"/>
        <v>44682</v>
      </c>
      <c r="C23" s="1249"/>
      <c r="D23" s="1821">
        <f t="shared" ref="D23:D28" si="4">+D22</f>
        <v>0</v>
      </c>
      <c r="E23" s="1822"/>
      <c r="F23" s="1821">
        <f t="shared" si="3"/>
        <v>0</v>
      </c>
      <c r="G23" s="1821"/>
      <c r="H23" s="1821">
        <f t="shared" ref="H23:H24" si="5">SUM($N$19:$N$21)</f>
        <v>0</v>
      </c>
      <c r="I23" s="1821"/>
      <c r="J23" s="1821">
        <f t="shared" si="2"/>
        <v>0</v>
      </c>
      <c r="K23" s="1822"/>
      <c r="L23" s="1286">
        <f>+'SWT WS Q Interest Rate'!E17</f>
        <v>2.8E-3</v>
      </c>
      <c r="M23" s="1287"/>
      <c r="N23" s="1821">
        <f t="shared" si="1"/>
        <v>0</v>
      </c>
      <c r="O23" s="1821"/>
      <c r="P23" s="1821"/>
      <c r="Q23" s="1821"/>
      <c r="R23" s="1821">
        <f>SUM($D$19:D23)+SUM($N$19:N23)</f>
        <v>0</v>
      </c>
      <c r="T23" s="394">
        <v>5</v>
      </c>
    </row>
    <row r="24" spans="2:20" ht="15.75">
      <c r="B24" s="1283">
        <f t="shared" si="0"/>
        <v>44713</v>
      </c>
      <c r="C24" s="1249"/>
      <c r="D24" s="1821">
        <f t="shared" si="4"/>
        <v>0</v>
      </c>
      <c r="E24" s="1822"/>
      <c r="F24" s="1821">
        <f t="shared" si="3"/>
        <v>0</v>
      </c>
      <c r="G24" s="1821"/>
      <c r="H24" s="1821">
        <f t="shared" si="5"/>
        <v>0</v>
      </c>
      <c r="I24" s="1821"/>
      <c r="J24" s="1821">
        <f t="shared" si="2"/>
        <v>0</v>
      </c>
      <c r="K24" s="1822"/>
      <c r="L24" s="1286">
        <f>+'SWT WS Q Interest Rate'!E18</f>
        <v>2.7000000000000001E-3</v>
      </c>
      <c r="M24" s="1287"/>
      <c r="N24" s="1821">
        <f t="shared" si="1"/>
        <v>0</v>
      </c>
      <c r="O24" s="1821"/>
      <c r="P24" s="1821"/>
      <c r="Q24" s="1821"/>
      <c r="R24" s="1821">
        <f>SUM($D$19:D24)+SUM($N$19:N24)</f>
        <v>0</v>
      </c>
      <c r="T24" s="394">
        <v>6</v>
      </c>
    </row>
    <row r="25" spans="2:20" ht="15.75">
      <c r="B25" s="1283">
        <f t="shared" si="0"/>
        <v>44743</v>
      </c>
      <c r="C25" s="1249"/>
      <c r="D25" s="1821">
        <f t="shared" si="4"/>
        <v>0</v>
      </c>
      <c r="E25" s="1822"/>
      <c r="F25" s="1821">
        <f t="shared" si="3"/>
        <v>0</v>
      </c>
      <c r="G25" s="1821"/>
      <c r="H25" s="1821">
        <f>$H$24+SUM($N$22:$N$24)</f>
        <v>0</v>
      </c>
      <c r="I25" s="1821"/>
      <c r="J25" s="1821">
        <f t="shared" si="2"/>
        <v>0</v>
      </c>
      <c r="K25" s="1822"/>
      <c r="L25" s="1286">
        <f>+'SWT WS Q Interest Rate'!E19</f>
        <v>3.0999999999999999E-3</v>
      </c>
      <c r="M25" s="1287"/>
      <c r="N25" s="1821">
        <f t="shared" si="1"/>
        <v>0</v>
      </c>
      <c r="O25" s="1821"/>
      <c r="P25" s="1821"/>
      <c r="Q25" s="1821"/>
      <c r="R25" s="1821">
        <f>SUM($D$19:D25)+SUM($N$19:N25)</f>
        <v>0</v>
      </c>
      <c r="T25" s="394">
        <v>7</v>
      </c>
    </row>
    <row r="26" spans="2:20" ht="15.75">
      <c r="B26" s="1283">
        <f t="shared" si="0"/>
        <v>44774</v>
      </c>
      <c r="C26" s="1249"/>
      <c r="D26" s="1821">
        <f t="shared" si="4"/>
        <v>0</v>
      </c>
      <c r="E26" s="1822"/>
      <c r="F26" s="1821">
        <f t="shared" si="3"/>
        <v>0</v>
      </c>
      <c r="G26" s="1821"/>
      <c r="H26" s="1821">
        <f>$H$24+SUM($N$22:$N$24)</f>
        <v>0</v>
      </c>
      <c r="I26" s="1821"/>
      <c r="J26" s="1821">
        <f t="shared" si="2"/>
        <v>0</v>
      </c>
      <c r="K26" s="1822"/>
      <c r="L26" s="1286">
        <f>+'SWT WS Q Interest Rate'!E20</f>
        <v>3.0999999999999999E-3</v>
      </c>
      <c r="M26" s="1287"/>
      <c r="N26" s="1821">
        <f t="shared" si="1"/>
        <v>0</v>
      </c>
      <c r="O26" s="1821"/>
      <c r="P26" s="1821"/>
      <c r="Q26" s="1821"/>
      <c r="R26" s="1821">
        <f>SUM($D$19:D26)+SUM($N$19:N26)</f>
        <v>0</v>
      </c>
      <c r="T26" s="394">
        <v>8</v>
      </c>
    </row>
    <row r="27" spans="2:20" ht="15.75">
      <c r="B27" s="1283">
        <f t="shared" si="0"/>
        <v>44805</v>
      </c>
      <c r="C27" s="1249"/>
      <c r="D27" s="1821">
        <f t="shared" si="4"/>
        <v>0</v>
      </c>
      <c r="E27" s="1822"/>
      <c r="F27" s="1821">
        <f t="shared" si="3"/>
        <v>0</v>
      </c>
      <c r="G27" s="1821"/>
      <c r="H27" s="1821">
        <f>$H$24+SUM($N$22:$N$24)</f>
        <v>0</v>
      </c>
      <c r="I27" s="1821"/>
      <c r="J27" s="1821">
        <f t="shared" si="2"/>
        <v>0</v>
      </c>
      <c r="K27" s="1822"/>
      <c r="L27" s="1286">
        <f>+'SWT WS Q Interest Rate'!E21</f>
        <v>3.0000000000000001E-3</v>
      </c>
      <c r="M27" s="1287"/>
      <c r="N27" s="1821">
        <f t="shared" si="1"/>
        <v>0</v>
      </c>
      <c r="O27" s="1821"/>
      <c r="P27" s="1821"/>
      <c r="Q27" s="1821"/>
      <c r="R27" s="1821">
        <f>SUM($D$19:D27)+SUM($N$19:N27)</f>
        <v>0</v>
      </c>
      <c r="T27" s="394">
        <v>9</v>
      </c>
    </row>
    <row r="28" spans="2:20" ht="15.75">
      <c r="B28" s="1283">
        <f t="shared" si="0"/>
        <v>44835</v>
      </c>
      <c r="C28" s="1249"/>
      <c r="D28" s="1821">
        <f t="shared" si="4"/>
        <v>0</v>
      </c>
      <c r="E28" s="1822"/>
      <c r="F28" s="1821">
        <f t="shared" si="3"/>
        <v>0</v>
      </c>
      <c r="G28" s="1821"/>
      <c r="H28" s="1821">
        <f>$H$27+SUM($N$25:$N$27)</f>
        <v>0</v>
      </c>
      <c r="I28" s="1821"/>
      <c r="J28" s="1821">
        <f t="shared" si="2"/>
        <v>0</v>
      </c>
      <c r="K28" s="1822"/>
      <c r="L28" s="1286">
        <f>+'SWT WS Q Interest Rate'!E22</f>
        <v>4.1999999999999997E-3</v>
      </c>
      <c r="M28" s="1287"/>
      <c r="N28" s="1821">
        <f t="shared" si="1"/>
        <v>0</v>
      </c>
      <c r="O28" s="1821"/>
      <c r="P28" s="1821"/>
      <c r="Q28" s="1821"/>
      <c r="R28" s="1821">
        <f>SUM($D$19:D28)+SUM($N$19:N28)</f>
        <v>0</v>
      </c>
      <c r="T28" s="394">
        <v>10</v>
      </c>
    </row>
    <row r="29" spans="2:20" ht="15.75">
      <c r="B29" s="1283">
        <f t="shared" si="0"/>
        <v>44866</v>
      </c>
      <c r="C29" s="1249"/>
      <c r="D29" s="1821">
        <f>+D28</f>
        <v>0</v>
      </c>
      <c r="E29" s="1822"/>
      <c r="F29" s="1821">
        <f>D28+F28</f>
        <v>0</v>
      </c>
      <c r="G29" s="1821"/>
      <c r="H29" s="1821">
        <f>$H$27+SUM($N$25:$N$27)</f>
        <v>0</v>
      </c>
      <c r="I29" s="1821"/>
      <c r="J29" s="1821">
        <f t="shared" si="2"/>
        <v>0</v>
      </c>
      <c r="K29" s="1822"/>
      <c r="L29" s="1286">
        <f>+'SWT WS Q Interest Rate'!E23</f>
        <v>4.0000000000000001E-3</v>
      </c>
      <c r="M29" s="1287"/>
      <c r="N29" s="1821">
        <f t="shared" si="1"/>
        <v>0</v>
      </c>
      <c r="O29" s="1821"/>
      <c r="P29" s="1821"/>
      <c r="Q29" s="1821"/>
      <c r="R29" s="1821">
        <f>SUM($D$19:D29)+SUM($N$19:N29)</f>
        <v>0</v>
      </c>
      <c r="T29" s="394">
        <v>11</v>
      </c>
    </row>
    <row r="30" spans="2:20" ht="15.75">
      <c r="B30" s="1283">
        <f t="shared" si="0"/>
        <v>44896</v>
      </c>
      <c r="C30" s="1249"/>
      <c r="D30" s="1821">
        <f>+D29</f>
        <v>0</v>
      </c>
      <c r="E30" s="1822"/>
      <c r="F30" s="1821">
        <f>D29+F29</f>
        <v>0</v>
      </c>
      <c r="G30" s="1821"/>
      <c r="H30" s="1821">
        <f>$H$27+SUM($N$25:$N$27)</f>
        <v>0</v>
      </c>
      <c r="I30" s="1821"/>
      <c r="J30" s="1821">
        <f>F30+H30</f>
        <v>0</v>
      </c>
      <c r="K30" s="1822"/>
      <c r="L30" s="1286">
        <f>+'SWT WS Q Interest Rate'!E24</f>
        <v>4.1999999999999997E-3</v>
      </c>
      <c r="M30" s="1287"/>
      <c r="N30" s="1821">
        <f t="shared" si="1"/>
        <v>0</v>
      </c>
      <c r="O30" s="1823"/>
      <c r="P30" s="1821"/>
      <c r="Q30" s="1821"/>
      <c r="R30" s="1821">
        <f>SUM($D$19:D30)+SUM($N$19:N30)</f>
        <v>0</v>
      </c>
      <c r="T30" s="394">
        <v>12</v>
      </c>
    </row>
    <row r="31" spans="2:20" ht="15.75">
      <c r="B31" s="1249"/>
      <c r="C31" s="1249"/>
      <c r="D31" s="1821"/>
      <c r="E31" s="1822"/>
      <c r="F31" s="1821"/>
      <c r="G31" s="1821"/>
      <c r="H31" s="1821"/>
      <c r="I31" s="1821"/>
      <c r="J31" s="1821"/>
      <c r="K31" s="1822"/>
      <c r="L31" s="1268"/>
      <c r="M31" s="1249"/>
      <c r="N31" s="1823"/>
      <c r="O31" s="1823"/>
      <c r="P31" s="1821"/>
      <c r="Q31" s="1821"/>
      <c r="R31" s="1824"/>
    </row>
    <row r="32" spans="2:20" ht="15.75">
      <c r="B32" s="1282" t="s">
        <v>685</v>
      </c>
      <c r="C32" s="1249"/>
      <c r="D32" s="1821"/>
      <c r="E32" s="1822"/>
      <c r="F32" s="1821"/>
      <c r="G32" s="1821"/>
      <c r="H32" s="1821"/>
      <c r="I32" s="1821"/>
      <c r="J32" s="1821"/>
      <c r="K32" s="1822"/>
      <c r="L32" s="1268"/>
      <c r="M32" s="1249"/>
      <c r="N32" s="1821"/>
      <c r="O32" s="1821"/>
      <c r="P32" s="1821" t="s">
        <v>251</v>
      </c>
      <c r="Q32" s="1821"/>
      <c r="R32" s="1825"/>
    </row>
    <row r="33" spans="2:20" ht="15.75">
      <c r="B33" s="1283">
        <f t="shared" ref="B33:B44" si="6">DATE($J$10,T33,1)</f>
        <v>44927</v>
      </c>
      <c r="C33" s="1249"/>
      <c r="D33" s="1821">
        <v>0</v>
      </c>
      <c r="E33" s="1822"/>
      <c r="F33" s="1821">
        <f>D30+F30</f>
        <v>0</v>
      </c>
      <c r="G33" s="1821"/>
      <c r="H33" s="1821">
        <f>$H$30+SUM($N$28:$N$30)</f>
        <v>0</v>
      </c>
      <c r="I33" s="1821"/>
      <c r="J33" s="1821">
        <f>F33+H33</f>
        <v>0</v>
      </c>
      <c r="K33" s="1822"/>
      <c r="L33" s="1286">
        <f>+'SWT WS Q Interest Rate'!E25</f>
        <v>5.4000000000000003E-3</v>
      </c>
      <c r="M33" s="1287"/>
      <c r="N33" s="1821">
        <f t="shared" ref="N33:N44" si="7">J33*L33</f>
        <v>0</v>
      </c>
      <c r="O33" s="1821"/>
      <c r="P33" s="1821"/>
      <c r="Q33" s="1821"/>
      <c r="R33" s="1821">
        <f>SUM($D$19:D33)+SUM($N$19:N33)</f>
        <v>0</v>
      </c>
      <c r="T33" s="394">
        <v>1</v>
      </c>
    </row>
    <row r="34" spans="2:20" ht="15.75">
      <c r="B34" s="1283">
        <f t="shared" si="6"/>
        <v>44958</v>
      </c>
      <c r="C34" s="1249"/>
      <c r="D34" s="1821">
        <v>0</v>
      </c>
      <c r="E34" s="1822"/>
      <c r="F34" s="1821">
        <f>D33+F33</f>
        <v>0</v>
      </c>
      <c r="G34" s="1821"/>
      <c r="H34" s="1821">
        <f>$H$30+SUM($N$28:$N$30)</f>
        <v>0</v>
      </c>
      <c r="I34" s="1821"/>
      <c r="J34" s="1821">
        <f>F34+H34</f>
        <v>0</v>
      </c>
      <c r="K34" s="1822"/>
      <c r="L34" s="1286">
        <f>+'SWT WS Q Interest Rate'!E26</f>
        <v>4.7999999999999996E-3</v>
      </c>
      <c r="M34" s="1287"/>
      <c r="N34" s="1821">
        <f t="shared" si="7"/>
        <v>0</v>
      </c>
      <c r="O34" s="1821"/>
      <c r="P34" s="1821"/>
      <c r="Q34" s="1821"/>
      <c r="R34" s="1821">
        <f>SUM($D$19:D34)+SUM($N$19:N34)</f>
        <v>0</v>
      </c>
      <c r="T34" s="394">
        <v>2</v>
      </c>
    </row>
    <row r="35" spans="2:20" ht="15.75">
      <c r="B35" s="1283">
        <f t="shared" si="6"/>
        <v>44986</v>
      </c>
      <c r="C35" s="1249"/>
      <c r="D35" s="1821">
        <v>0</v>
      </c>
      <c r="E35" s="1822"/>
      <c r="F35" s="1821">
        <f t="shared" ref="F35:F43" si="8">D34+F34</f>
        <v>0</v>
      </c>
      <c r="G35" s="1821"/>
      <c r="H35" s="1821">
        <f>$H$30+SUM($N$28:$N$30)</f>
        <v>0</v>
      </c>
      <c r="I35" s="1821"/>
      <c r="J35" s="1821">
        <f t="shared" ref="J35:J41" si="9">F35+H35</f>
        <v>0</v>
      </c>
      <c r="K35" s="1822"/>
      <c r="L35" s="1286">
        <f>+'SWT WS Q Interest Rate'!E27</f>
        <v>5.4000000000000003E-3</v>
      </c>
      <c r="M35" s="1287"/>
      <c r="N35" s="1821">
        <f t="shared" si="7"/>
        <v>0</v>
      </c>
      <c r="O35" s="1821"/>
      <c r="P35" s="1821"/>
      <c r="Q35" s="1821"/>
      <c r="R35" s="1821">
        <f>SUM($D$19:D35)+SUM($N$19:N35)</f>
        <v>0</v>
      </c>
      <c r="T35" s="394">
        <v>3</v>
      </c>
    </row>
    <row r="36" spans="2:20" ht="15.75">
      <c r="B36" s="1283">
        <f t="shared" si="6"/>
        <v>45017</v>
      </c>
      <c r="C36" s="1249"/>
      <c r="D36" s="1821">
        <v>0</v>
      </c>
      <c r="E36" s="1822"/>
      <c r="F36" s="1821">
        <f t="shared" si="8"/>
        <v>0</v>
      </c>
      <c r="G36" s="1821"/>
      <c r="H36" s="1821">
        <f>$H$35+SUM($N$33:$N$35)</f>
        <v>0</v>
      </c>
      <c r="I36" s="1821"/>
      <c r="J36" s="1821">
        <f>F36+H36</f>
        <v>0</v>
      </c>
      <c r="K36" s="1822"/>
      <c r="L36" s="1286">
        <f>+'SWT WS Q Interest Rate'!E28</f>
        <v>6.1999999999999998E-3</v>
      </c>
      <c r="M36" s="1287"/>
      <c r="N36" s="1821">
        <f t="shared" si="7"/>
        <v>0</v>
      </c>
      <c r="O36" s="1821"/>
      <c r="P36" s="1821"/>
      <c r="Q36" s="1821"/>
      <c r="R36" s="1821">
        <f>SUM($D$19:D36)+SUM($N$19:N36)</f>
        <v>0</v>
      </c>
      <c r="T36" s="394">
        <v>4</v>
      </c>
    </row>
    <row r="37" spans="2:20" ht="15.75">
      <c r="B37" s="1283">
        <f t="shared" si="6"/>
        <v>45047</v>
      </c>
      <c r="C37" s="1249"/>
      <c r="D37" s="1821">
        <v>0</v>
      </c>
      <c r="E37" s="1822"/>
      <c r="F37" s="1821">
        <f t="shared" si="8"/>
        <v>0</v>
      </c>
      <c r="G37" s="1821"/>
      <c r="H37" s="1821">
        <f>$H$35+SUM($N$33:$N$35)</f>
        <v>0</v>
      </c>
      <c r="I37" s="1821"/>
      <c r="J37" s="1821">
        <f t="shared" si="9"/>
        <v>0</v>
      </c>
      <c r="K37" s="1822"/>
      <c r="L37" s="1286">
        <f>+'SWT WS Q Interest Rate'!E29</f>
        <v>6.4000000000000003E-3</v>
      </c>
      <c r="M37" s="1287"/>
      <c r="N37" s="1821">
        <f t="shared" si="7"/>
        <v>0</v>
      </c>
      <c r="O37" s="1821"/>
      <c r="P37" s="1821"/>
      <c r="Q37" s="1821"/>
      <c r="R37" s="1821">
        <f>SUM($D$19:D37)+SUM($N$19:N37)</f>
        <v>0</v>
      </c>
      <c r="T37" s="394">
        <v>5</v>
      </c>
    </row>
    <row r="38" spans="2:20" ht="15.75">
      <c r="B38" s="1283">
        <f t="shared" si="6"/>
        <v>45078</v>
      </c>
      <c r="C38" s="1249"/>
      <c r="D38" s="1821">
        <v>0</v>
      </c>
      <c r="E38" s="1822"/>
      <c r="F38" s="1821">
        <f t="shared" si="8"/>
        <v>0</v>
      </c>
      <c r="G38" s="1821"/>
      <c r="H38" s="1821">
        <f>$H$35+SUM($N$33:$N$35)</f>
        <v>0</v>
      </c>
      <c r="I38" s="1821"/>
      <c r="J38" s="1821">
        <f t="shared" si="9"/>
        <v>0</v>
      </c>
      <c r="K38" s="1822"/>
      <c r="L38" s="1286">
        <f>+'SWT WS Q Interest Rate'!E30</f>
        <v>6.1999999999999998E-3</v>
      </c>
      <c r="M38" s="1287"/>
      <c r="N38" s="1821">
        <f t="shared" si="7"/>
        <v>0</v>
      </c>
      <c r="O38" s="1821"/>
      <c r="P38" s="1821"/>
      <c r="Q38" s="1821"/>
      <c r="R38" s="1821">
        <f>SUM($D$19:D38)+SUM($N$19:N38)</f>
        <v>0</v>
      </c>
      <c r="T38" s="394">
        <v>6</v>
      </c>
    </row>
    <row r="39" spans="2:20" ht="15.75">
      <c r="B39" s="1283">
        <f t="shared" si="6"/>
        <v>45108</v>
      </c>
      <c r="C39" s="1249"/>
      <c r="D39" s="1821">
        <v>0</v>
      </c>
      <c r="E39" s="1822"/>
      <c r="F39" s="1821">
        <f t="shared" si="8"/>
        <v>0</v>
      </c>
      <c r="G39" s="1821"/>
      <c r="H39" s="1821">
        <f>$H$38+SUM($N$36:$N$38)</f>
        <v>0</v>
      </c>
      <c r="I39" s="1821"/>
      <c r="J39" s="1821">
        <f>F39+H39</f>
        <v>0</v>
      </c>
      <c r="K39" s="1822"/>
      <c r="L39" s="1286">
        <f>+'SWT WS Q Interest Rate'!E31</f>
        <v>6.1999999999999998E-3</v>
      </c>
      <c r="M39" s="1287"/>
      <c r="N39" s="1821">
        <f t="shared" si="7"/>
        <v>0</v>
      </c>
      <c r="O39" s="1821"/>
      <c r="P39" s="1821"/>
      <c r="Q39" s="1821"/>
      <c r="R39" s="1821">
        <f>SUM($D$19:D39)+SUM($N$19:N39)</f>
        <v>0</v>
      </c>
      <c r="T39" s="394">
        <v>7</v>
      </c>
    </row>
    <row r="40" spans="2:20" ht="15.75">
      <c r="B40" s="1283">
        <f t="shared" si="6"/>
        <v>45139</v>
      </c>
      <c r="C40" s="1249"/>
      <c r="D40" s="1821">
        <v>0</v>
      </c>
      <c r="E40" s="1822"/>
      <c r="F40" s="1821">
        <f t="shared" si="8"/>
        <v>0</v>
      </c>
      <c r="G40" s="1821"/>
      <c r="H40" s="1821">
        <f>$H$38+SUM($N$36:$N$38)</f>
        <v>0</v>
      </c>
      <c r="I40" s="1821"/>
      <c r="J40" s="1821">
        <f t="shared" si="9"/>
        <v>0</v>
      </c>
      <c r="K40" s="1822"/>
      <c r="L40" s="1286">
        <f>+'SWT WS Q Interest Rate'!E32</f>
        <v>6.1999999999999998E-3</v>
      </c>
      <c r="M40" s="1287"/>
      <c r="N40" s="1821">
        <f t="shared" si="7"/>
        <v>0</v>
      </c>
      <c r="O40" s="1821"/>
      <c r="P40" s="1821"/>
      <c r="Q40" s="1821"/>
      <c r="R40" s="1821">
        <f>SUM($D$19:D40)+SUM($N$19:N40)</f>
        <v>0</v>
      </c>
      <c r="T40" s="394">
        <v>8</v>
      </c>
    </row>
    <row r="41" spans="2:20" ht="15.75">
      <c r="B41" s="1283">
        <f t="shared" si="6"/>
        <v>45170</v>
      </c>
      <c r="C41" s="1249"/>
      <c r="D41" s="1821">
        <v>0</v>
      </c>
      <c r="E41" s="1822"/>
      <c r="F41" s="1821">
        <f t="shared" si="8"/>
        <v>0</v>
      </c>
      <c r="G41" s="1821"/>
      <c r="H41" s="1821">
        <f>$H$38+SUM($N$36:$N$38)</f>
        <v>0</v>
      </c>
      <c r="I41" s="1821"/>
      <c r="J41" s="1821">
        <f t="shared" si="9"/>
        <v>0</v>
      </c>
      <c r="K41" s="1822"/>
      <c r="L41" s="1286">
        <f>+'SWT WS Q Interest Rate'!E33</f>
        <v>6.1999999999999998E-3</v>
      </c>
      <c r="M41" s="1287"/>
      <c r="N41" s="1821">
        <f t="shared" si="7"/>
        <v>0</v>
      </c>
      <c r="O41" s="1821"/>
      <c r="P41" s="1821"/>
      <c r="Q41" s="1821"/>
      <c r="R41" s="1821">
        <f>SUM($D$19:D41)+SUM($N$19:N41)</f>
        <v>0</v>
      </c>
      <c r="T41" s="394">
        <v>9</v>
      </c>
    </row>
    <row r="42" spans="2:20" ht="15.75">
      <c r="B42" s="1283">
        <f t="shared" si="6"/>
        <v>45200</v>
      </c>
      <c r="C42" s="1249"/>
      <c r="D42" s="1821">
        <v>0</v>
      </c>
      <c r="E42" s="1822"/>
      <c r="F42" s="1821">
        <f t="shared" si="8"/>
        <v>0</v>
      </c>
      <c r="G42" s="1821"/>
      <c r="H42" s="1821">
        <f>$H$41+SUM($N$39:$N$41)</f>
        <v>0</v>
      </c>
      <c r="I42" s="1821"/>
      <c r="J42" s="1821">
        <f>F42+H42</f>
        <v>0</v>
      </c>
      <c r="K42" s="1822"/>
      <c r="L42" s="1286">
        <f>+'SWT WS Q Interest Rate'!E34</f>
        <v>6.1999999999999998E-3</v>
      </c>
      <c r="M42" s="1287"/>
      <c r="N42" s="1821">
        <f t="shared" si="7"/>
        <v>0</v>
      </c>
      <c r="O42" s="1821"/>
      <c r="P42" s="1821"/>
      <c r="Q42" s="1821"/>
      <c r="R42" s="1821">
        <f>SUM($D$19:D42)+SUM($N$19:N42)</f>
        <v>0</v>
      </c>
      <c r="T42" s="394">
        <v>10</v>
      </c>
    </row>
    <row r="43" spans="2:20" ht="15.75">
      <c r="B43" s="1283">
        <f t="shared" si="6"/>
        <v>45231</v>
      </c>
      <c r="C43" s="1249"/>
      <c r="D43" s="1821">
        <v>0</v>
      </c>
      <c r="E43" s="1822"/>
      <c r="F43" s="1821">
        <f t="shared" si="8"/>
        <v>0</v>
      </c>
      <c r="G43" s="1821"/>
      <c r="H43" s="1821">
        <f>$H$41+SUM($N$39:$N$41)</f>
        <v>0</v>
      </c>
      <c r="I43" s="1821"/>
      <c r="J43" s="1821">
        <f>F43+H43</f>
        <v>0</v>
      </c>
      <c r="K43" s="1822"/>
      <c r="L43" s="1286">
        <f>+'SWT WS Q Interest Rate'!E35</f>
        <v>6.1999999999999998E-3</v>
      </c>
      <c r="M43" s="1287"/>
      <c r="N43" s="1821">
        <f t="shared" si="7"/>
        <v>0</v>
      </c>
      <c r="O43" s="1821"/>
      <c r="P43" s="1821"/>
      <c r="Q43" s="1821"/>
      <c r="R43" s="1821">
        <f>SUM($D$19:D43)+SUM($N$19:N43)</f>
        <v>0</v>
      </c>
      <c r="T43" s="394">
        <v>11</v>
      </c>
    </row>
    <row r="44" spans="2:20" ht="15.75">
      <c r="B44" s="1283">
        <f t="shared" si="6"/>
        <v>45261</v>
      </c>
      <c r="C44" s="1249"/>
      <c r="D44" s="1821">
        <v>0</v>
      </c>
      <c r="E44" s="1822"/>
      <c r="F44" s="1821">
        <f>D43+F43</f>
        <v>0</v>
      </c>
      <c r="G44" s="1821"/>
      <c r="H44" s="1821">
        <f>$H$41+SUM($N$39:$N$41)</f>
        <v>0</v>
      </c>
      <c r="I44" s="1821"/>
      <c r="J44" s="1821">
        <f>F44+H44</f>
        <v>0</v>
      </c>
      <c r="K44" s="1822"/>
      <c r="L44" s="1286">
        <f>+'SWT WS Q Interest Rate'!E36</f>
        <v>6.1999999999999998E-3</v>
      </c>
      <c r="M44" s="1287"/>
      <c r="N44" s="1821">
        <f t="shared" si="7"/>
        <v>0</v>
      </c>
      <c r="O44" s="1823"/>
      <c r="P44" s="1821"/>
      <c r="Q44" s="1821"/>
      <c r="R44" s="1821">
        <f>SUM($D$19:D44)+SUM($N$19:N44)</f>
        <v>0</v>
      </c>
      <c r="T44" s="394">
        <v>12</v>
      </c>
    </row>
    <row r="45" spans="2:20" ht="15.75">
      <c r="B45" s="1249"/>
      <c r="C45" s="1249"/>
      <c r="D45" s="1821"/>
      <c r="E45" s="1266"/>
      <c r="F45" s="1821"/>
      <c r="G45" s="1821"/>
      <c r="H45" s="1821"/>
      <c r="I45" s="1821"/>
      <c r="J45" s="1821"/>
      <c r="K45" s="1266"/>
      <c r="L45" s="1268"/>
      <c r="M45" s="1249"/>
      <c r="N45" s="1826"/>
      <c r="O45" s="1826"/>
      <c r="P45" s="1821"/>
      <c r="Q45" s="1821"/>
      <c r="R45" s="1821"/>
      <c r="T45" s="1827"/>
    </row>
    <row r="46" spans="2:20" ht="15.75">
      <c r="B46" s="1293" t="s">
        <v>686</v>
      </c>
      <c r="C46" s="1249"/>
      <c r="D46" s="1821"/>
      <c r="E46" s="1822"/>
      <c r="F46" s="1821"/>
      <c r="G46" s="1821"/>
      <c r="H46" s="1821"/>
      <c r="I46" s="1821"/>
      <c r="J46" s="1821"/>
      <c r="K46" s="1822"/>
      <c r="L46" s="1268"/>
      <c r="M46" s="1249"/>
      <c r="N46" s="1828"/>
      <c r="O46" s="1828"/>
      <c r="P46" s="1821"/>
      <c r="Q46" s="1821"/>
      <c r="R46" s="1821"/>
    </row>
    <row r="47" spans="2:20" ht="15.75">
      <c r="B47" s="1295" t="s">
        <v>415</v>
      </c>
      <c r="C47" s="1249"/>
      <c r="D47" s="1821"/>
      <c r="E47" s="1822"/>
      <c r="F47" s="1821"/>
      <c r="G47" s="1821"/>
      <c r="H47" s="1821"/>
      <c r="I47" s="1821"/>
      <c r="J47" s="1821"/>
      <c r="K47" s="1822"/>
      <c r="L47" s="1268"/>
      <c r="M47" s="1249"/>
      <c r="N47" s="1828"/>
      <c r="O47" s="1828"/>
      <c r="P47" s="1821"/>
      <c r="Q47" s="1821"/>
      <c r="R47" s="1821"/>
    </row>
    <row r="48" spans="2:20" ht="15.75">
      <c r="B48" s="1283">
        <f t="shared" ref="B48:B59" si="10">DATE($J$11,T48,1)</f>
        <v>45292</v>
      </c>
      <c r="C48" s="1249"/>
      <c r="D48" s="1821">
        <v>0</v>
      </c>
      <c r="E48" s="1296"/>
      <c r="F48" s="1821">
        <f>D44+F44</f>
        <v>0</v>
      </c>
      <c r="G48" s="1824"/>
      <c r="H48" s="1821">
        <f>$H$44+SUM($N$42:$N$44)</f>
        <v>0</v>
      </c>
      <c r="I48" s="1821"/>
      <c r="J48" s="1821">
        <f>F48+H48</f>
        <v>0</v>
      </c>
      <c r="K48" s="1266"/>
      <c r="L48" s="1286">
        <f>+'SWT WS Q Interest Rate'!$E$39</f>
        <v>5.9666666666666653E-3</v>
      </c>
      <c r="M48" s="1249"/>
      <c r="N48" s="1821">
        <f t="shared" ref="N48:N59" si="11">J48*L48</f>
        <v>0</v>
      </c>
      <c r="O48" s="1821"/>
      <c r="P48" s="1821">
        <f>PMT(L48,12,$R$44)</f>
        <v>0</v>
      </c>
      <c r="Q48" s="1821"/>
      <c r="R48" s="1821">
        <f>SUM($D$19:D48)+SUM($N$19:N48)+SUM($P$48:P48)</f>
        <v>0</v>
      </c>
      <c r="T48" s="394">
        <v>1</v>
      </c>
    </row>
    <row r="49" spans="2:20" ht="15.75">
      <c r="B49" s="1283">
        <f t="shared" si="10"/>
        <v>45323</v>
      </c>
      <c r="C49" s="1249"/>
      <c r="D49" s="1821">
        <v>0</v>
      </c>
      <c r="E49" s="1266"/>
      <c r="F49" s="1821">
        <f>D48+F48</f>
        <v>0</v>
      </c>
      <c r="G49" s="1821"/>
      <c r="H49" s="1821">
        <f>$H$44+SUM($N$42:$N$44)</f>
        <v>0</v>
      </c>
      <c r="I49" s="1821"/>
      <c r="J49" s="1821">
        <f>R48</f>
        <v>0</v>
      </c>
      <c r="K49" s="1266"/>
      <c r="L49" s="1286">
        <f>+'SWT WS Q Interest Rate'!$E$39</f>
        <v>5.9666666666666653E-3</v>
      </c>
      <c r="M49" s="1249"/>
      <c r="N49" s="1821">
        <f t="shared" si="11"/>
        <v>0</v>
      </c>
      <c r="O49" s="1821"/>
      <c r="P49" s="1821">
        <f t="shared" ref="P49:P59" si="12">PMT(L49,12,$R$44)</f>
        <v>0</v>
      </c>
      <c r="Q49" s="1821"/>
      <c r="R49" s="1821">
        <f>SUM($D$19:D49)+SUM($N$19:N49)+SUM($P$48:P49)</f>
        <v>0</v>
      </c>
      <c r="T49" s="394">
        <v>2</v>
      </c>
    </row>
    <row r="50" spans="2:20" ht="15.75">
      <c r="B50" s="1283">
        <f t="shared" si="10"/>
        <v>45352</v>
      </c>
      <c r="C50" s="1249"/>
      <c r="D50" s="1821">
        <v>0</v>
      </c>
      <c r="E50" s="1266"/>
      <c r="F50" s="1821">
        <f t="shared" ref="F50:F58" si="13">D49+F49</f>
        <v>0</v>
      </c>
      <c r="G50" s="1821"/>
      <c r="H50" s="1821">
        <f>$H$44+SUM($N$42:$N$44)</f>
        <v>0</v>
      </c>
      <c r="I50" s="1821"/>
      <c r="J50" s="1821">
        <f t="shared" ref="J50:J59" si="14">R49</f>
        <v>0</v>
      </c>
      <c r="K50" s="1266"/>
      <c r="L50" s="1286">
        <f>+'SWT WS Q Interest Rate'!$E$39</f>
        <v>5.9666666666666653E-3</v>
      </c>
      <c r="M50" s="1249"/>
      <c r="N50" s="1821">
        <f t="shared" si="11"/>
        <v>0</v>
      </c>
      <c r="O50" s="1821"/>
      <c r="P50" s="1821">
        <f t="shared" si="12"/>
        <v>0</v>
      </c>
      <c r="Q50" s="1821"/>
      <c r="R50" s="1821">
        <f>SUM($D$19:D50)+SUM($N$19:N50)+SUM($P$48:P50)</f>
        <v>0</v>
      </c>
      <c r="T50" s="394">
        <v>3</v>
      </c>
    </row>
    <row r="51" spans="2:20" ht="15.75">
      <c r="B51" s="1283">
        <f t="shared" si="10"/>
        <v>45383</v>
      </c>
      <c r="C51" s="1249"/>
      <c r="D51" s="1821">
        <v>0</v>
      </c>
      <c r="E51" s="1266"/>
      <c r="F51" s="1821">
        <f t="shared" si="13"/>
        <v>0</v>
      </c>
      <c r="G51" s="1821"/>
      <c r="H51" s="1821">
        <f>$H$50+SUM($N$48:$N$50)</f>
        <v>0</v>
      </c>
      <c r="I51" s="1821"/>
      <c r="J51" s="1821">
        <f t="shared" si="14"/>
        <v>0</v>
      </c>
      <c r="K51" s="1266"/>
      <c r="L51" s="1286">
        <f>+'SWT WS Q Interest Rate'!$E$39</f>
        <v>5.9666666666666653E-3</v>
      </c>
      <c r="M51" s="1249"/>
      <c r="N51" s="1821">
        <f t="shared" si="11"/>
        <v>0</v>
      </c>
      <c r="O51" s="1821"/>
      <c r="P51" s="1821">
        <f t="shared" si="12"/>
        <v>0</v>
      </c>
      <c r="Q51" s="1821"/>
      <c r="R51" s="1821">
        <f>SUM($D$19:D51)+SUM($N$19:N51)+SUM($P$48:P51)</f>
        <v>0</v>
      </c>
      <c r="T51" s="394">
        <v>4</v>
      </c>
    </row>
    <row r="52" spans="2:20" ht="15.75">
      <c r="B52" s="1283">
        <f t="shared" si="10"/>
        <v>45413</v>
      </c>
      <c r="C52" s="1249"/>
      <c r="D52" s="1821">
        <v>0</v>
      </c>
      <c r="E52" s="1266"/>
      <c r="F52" s="1821">
        <f t="shared" si="13"/>
        <v>0</v>
      </c>
      <c r="G52" s="1821"/>
      <c r="H52" s="1821">
        <f>$H$50+SUM($N$48:$N$50)</f>
        <v>0</v>
      </c>
      <c r="I52" s="1821"/>
      <c r="J52" s="1821">
        <f t="shared" si="14"/>
        <v>0</v>
      </c>
      <c r="K52" s="1266"/>
      <c r="L52" s="1286">
        <f>+'SWT WS Q Interest Rate'!$E$39</f>
        <v>5.9666666666666653E-3</v>
      </c>
      <c r="M52" s="1249"/>
      <c r="N52" s="1821">
        <f t="shared" si="11"/>
        <v>0</v>
      </c>
      <c r="O52" s="1821"/>
      <c r="P52" s="1821">
        <f t="shared" si="12"/>
        <v>0</v>
      </c>
      <c r="Q52" s="1821"/>
      <c r="R52" s="1821">
        <f>SUM($D$19:D52)+SUM($N$19:N52)+SUM($P$48:P52)</f>
        <v>0</v>
      </c>
      <c r="T52" s="394">
        <v>5</v>
      </c>
    </row>
    <row r="53" spans="2:20" ht="15.75">
      <c r="B53" s="1283">
        <f t="shared" si="10"/>
        <v>45444</v>
      </c>
      <c r="C53" s="404"/>
      <c r="D53" s="1821">
        <v>0</v>
      </c>
      <c r="E53" s="1266"/>
      <c r="F53" s="1821">
        <f t="shared" si="13"/>
        <v>0</v>
      </c>
      <c r="G53" s="1821"/>
      <c r="H53" s="1821">
        <f>$H$50+SUM($N$48:$N$50)</f>
        <v>0</v>
      </c>
      <c r="I53" s="1821"/>
      <c r="J53" s="1821">
        <f t="shared" si="14"/>
        <v>0</v>
      </c>
      <c r="K53" s="1266"/>
      <c r="L53" s="1286">
        <f>+'SWT WS Q Interest Rate'!$E$39</f>
        <v>5.9666666666666653E-3</v>
      </c>
      <c r="M53" s="1249"/>
      <c r="N53" s="1821">
        <f t="shared" si="11"/>
        <v>0</v>
      </c>
      <c r="O53" s="1821"/>
      <c r="P53" s="1821">
        <f t="shared" si="12"/>
        <v>0</v>
      </c>
      <c r="Q53" s="1821"/>
      <c r="R53" s="1821">
        <f>SUM($D$19:D53)+SUM($N$19:N53)+SUM($P$48:P53)</f>
        <v>0</v>
      </c>
      <c r="T53" s="394">
        <v>6</v>
      </c>
    </row>
    <row r="54" spans="2:20" ht="15.75">
      <c r="B54" s="1283">
        <f t="shared" si="10"/>
        <v>45474</v>
      </c>
      <c r="C54" s="1249"/>
      <c r="D54" s="1821">
        <v>0</v>
      </c>
      <c r="E54" s="1266"/>
      <c r="F54" s="1821">
        <f t="shared" si="13"/>
        <v>0</v>
      </c>
      <c r="G54" s="1821"/>
      <c r="H54" s="1821">
        <f>$H$53+SUM($N$51:$N$53)</f>
        <v>0</v>
      </c>
      <c r="I54" s="1821"/>
      <c r="J54" s="1821">
        <f t="shared" si="14"/>
        <v>0</v>
      </c>
      <c r="K54" s="1266"/>
      <c r="L54" s="1286">
        <f>+'SWT WS Q Interest Rate'!$E$39</f>
        <v>5.9666666666666653E-3</v>
      </c>
      <c r="M54" s="1249"/>
      <c r="N54" s="1821">
        <f t="shared" si="11"/>
        <v>0</v>
      </c>
      <c r="O54" s="1821"/>
      <c r="P54" s="1821">
        <f t="shared" si="12"/>
        <v>0</v>
      </c>
      <c r="Q54" s="1821"/>
      <c r="R54" s="1821">
        <f>SUM($D$19:D54)+SUM($N$19:N54)+SUM($P$48:P54)</f>
        <v>0</v>
      </c>
      <c r="T54" s="394">
        <v>7</v>
      </c>
    </row>
    <row r="55" spans="2:20" ht="15.75">
      <c r="B55" s="1283">
        <f t="shared" si="10"/>
        <v>45505</v>
      </c>
      <c r="C55" s="1249"/>
      <c r="D55" s="1821">
        <v>0</v>
      </c>
      <c r="E55" s="1266"/>
      <c r="F55" s="1821">
        <f t="shared" si="13"/>
        <v>0</v>
      </c>
      <c r="G55" s="1821"/>
      <c r="H55" s="1821">
        <f>$H$53+SUM($N$51:$N$53)</f>
        <v>0</v>
      </c>
      <c r="I55" s="1821"/>
      <c r="J55" s="1821">
        <f t="shared" si="14"/>
        <v>0</v>
      </c>
      <c r="K55" s="1266"/>
      <c r="L55" s="1286">
        <f>+'SWT WS Q Interest Rate'!$E$39</f>
        <v>5.9666666666666653E-3</v>
      </c>
      <c r="M55" s="1249"/>
      <c r="N55" s="1821">
        <f t="shared" si="11"/>
        <v>0</v>
      </c>
      <c r="O55" s="1821"/>
      <c r="P55" s="1821">
        <f t="shared" si="12"/>
        <v>0</v>
      </c>
      <c r="Q55" s="1821"/>
      <c r="R55" s="1821">
        <f>SUM($D$19:D55)+SUM($N$19:N55)+SUM($P$48:P55)</f>
        <v>0</v>
      </c>
      <c r="T55" s="394">
        <v>8</v>
      </c>
    </row>
    <row r="56" spans="2:20" ht="15.75">
      <c r="B56" s="1283">
        <f t="shared" si="10"/>
        <v>45536</v>
      </c>
      <c r="C56" s="1249"/>
      <c r="D56" s="1821">
        <v>0</v>
      </c>
      <c r="E56" s="1266"/>
      <c r="F56" s="1821">
        <f t="shared" si="13"/>
        <v>0</v>
      </c>
      <c r="G56" s="1821"/>
      <c r="H56" s="1821">
        <f>$H$53+SUM($N$51:$N$53)</f>
        <v>0</v>
      </c>
      <c r="I56" s="1821"/>
      <c r="J56" s="1821">
        <f t="shared" si="14"/>
        <v>0</v>
      </c>
      <c r="K56" s="1266"/>
      <c r="L56" s="1286">
        <f>+'SWT WS Q Interest Rate'!$E$39</f>
        <v>5.9666666666666653E-3</v>
      </c>
      <c r="M56" s="1249"/>
      <c r="N56" s="1821">
        <f t="shared" si="11"/>
        <v>0</v>
      </c>
      <c r="O56" s="1821"/>
      <c r="P56" s="1821">
        <f t="shared" si="12"/>
        <v>0</v>
      </c>
      <c r="Q56" s="1821"/>
      <c r="R56" s="1821">
        <f>SUM($D$19:D56)+SUM($N$19:N56)+SUM($P$48:P56)</f>
        <v>0</v>
      </c>
      <c r="T56" s="394">
        <v>9</v>
      </c>
    </row>
    <row r="57" spans="2:20" ht="15.75">
      <c r="B57" s="1283">
        <f t="shared" si="10"/>
        <v>45566</v>
      </c>
      <c r="C57" s="1249"/>
      <c r="D57" s="1821">
        <v>0</v>
      </c>
      <c r="E57" s="1266"/>
      <c r="F57" s="1821">
        <f t="shared" si="13"/>
        <v>0</v>
      </c>
      <c r="G57" s="1821"/>
      <c r="H57" s="1821">
        <f>$H$56+SUM($N$54:$N$56)</f>
        <v>0</v>
      </c>
      <c r="I57" s="1821"/>
      <c r="J57" s="1821">
        <f t="shared" si="14"/>
        <v>0</v>
      </c>
      <c r="K57" s="1266"/>
      <c r="L57" s="1286">
        <f>+'SWT WS Q Interest Rate'!$E$39</f>
        <v>5.9666666666666653E-3</v>
      </c>
      <c r="M57" s="1249"/>
      <c r="N57" s="1821">
        <f t="shared" si="11"/>
        <v>0</v>
      </c>
      <c r="O57" s="1821"/>
      <c r="P57" s="1821">
        <f t="shared" si="12"/>
        <v>0</v>
      </c>
      <c r="Q57" s="1821"/>
      <c r="R57" s="1821">
        <f>SUM($D$19:D57)+SUM($N$19:N57)+SUM($P$48:P57)</f>
        <v>0</v>
      </c>
      <c r="T57" s="394">
        <v>10</v>
      </c>
    </row>
    <row r="58" spans="2:20" ht="15.75">
      <c r="B58" s="1283">
        <f t="shared" si="10"/>
        <v>45597</v>
      </c>
      <c r="C58" s="1249"/>
      <c r="D58" s="1821">
        <v>0</v>
      </c>
      <c r="E58" s="1266"/>
      <c r="F58" s="1821">
        <f t="shared" si="13"/>
        <v>0</v>
      </c>
      <c r="G58" s="1821"/>
      <c r="H58" s="1821">
        <f>$H$56+SUM($N$54:$N$56)</f>
        <v>0</v>
      </c>
      <c r="I58" s="1821"/>
      <c r="J58" s="1821">
        <f t="shared" si="14"/>
        <v>0</v>
      </c>
      <c r="K58" s="1266"/>
      <c r="L58" s="1286">
        <f>+'SWT WS Q Interest Rate'!$E$39</f>
        <v>5.9666666666666653E-3</v>
      </c>
      <c r="M58" s="1249"/>
      <c r="N58" s="1821">
        <f t="shared" si="11"/>
        <v>0</v>
      </c>
      <c r="O58" s="1821"/>
      <c r="P58" s="1821">
        <f t="shared" si="12"/>
        <v>0</v>
      </c>
      <c r="Q58" s="1821"/>
      <c r="R58" s="1821">
        <f>SUM($D$19:D58)+SUM($N$19:N58)+SUM($P$48:P58)</f>
        <v>0</v>
      </c>
      <c r="S58" s="1297"/>
      <c r="T58" s="394">
        <v>11</v>
      </c>
    </row>
    <row r="59" spans="2:20" ht="16.5" thickBot="1">
      <c r="B59" s="1298">
        <f t="shared" si="10"/>
        <v>45627</v>
      </c>
      <c r="C59" s="1299"/>
      <c r="D59" s="1829">
        <v>0</v>
      </c>
      <c r="E59" s="1269"/>
      <c r="F59" s="1829">
        <f>D58+F58</f>
        <v>0</v>
      </c>
      <c r="G59" s="1829"/>
      <c r="H59" s="1829">
        <f>$H$56+SUM($N$54:$N$56)</f>
        <v>0</v>
      </c>
      <c r="I59" s="1829"/>
      <c r="J59" s="1829">
        <f t="shared" si="14"/>
        <v>0</v>
      </c>
      <c r="K59" s="1269"/>
      <c r="L59" s="1301">
        <f>+'SWT WS Q Interest Rate'!$E$39</f>
        <v>5.9666666666666653E-3</v>
      </c>
      <c r="M59" s="1299"/>
      <c r="N59" s="1829">
        <f t="shared" si="11"/>
        <v>0</v>
      </c>
      <c r="O59" s="1829"/>
      <c r="P59" s="1829">
        <f t="shared" si="12"/>
        <v>0</v>
      </c>
      <c r="Q59" s="1829"/>
      <c r="R59" s="1829">
        <f>SUM($D$19:D59)+SUM($N$19:N59)+SUM($P$48:P59)</f>
        <v>0</v>
      </c>
      <c r="T59" s="394">
        <v>12</v>
      </c>
    </row>
    <row r="60" spans="2:20" ht="15.75">
      <c r="B60" s="1249"/>
      <c r="C60" s="1249"/>
      <c r="D60" s="1266"/>
      <c r="E60" s="1266"/>
      <c r="F60" s="1266"/>
      <c r="G60" s="1266"/>
      <c r="H60" s="1266"/>
      <c r="I60" s="1266"/>
      <c r="J60" s="1266"/>
      <c r="K60" s="1266"/>
      <c r="L60" s="1249"/>
      <c r="M60" s="1249"/>
      <c r="N60" s="1821"/>
      <c r="O60" s="1821"/>
      <c r="P60" s="1821"/>
      <c r="Q60" s="1821"/>
      <c r="R60" s="1821"/>
    </row>
    <row r="61" spans="2:20" ht="15">
      <c r="B61" s="404"/>
      <c r="C61" s="404"/>
      <c r="D61" s="404"/>
      <c r="E61" s="404"/>
      <c r="F61" s="404"/>
      <c r="G61" s="404"/>
      <c r="H61" s="404"/>
      <c r="I61" s="404"/>
      <c r="J61" s="404"/>
      <c r="K61" s="404"/>
      <c r="L61" s="404"/>
      <c r="M61" s="404"/>
      <c r="N61" s="1825"/>
      <c r="O61" s="1825"/>
      <c r="P61" s="1825"/>
      <c r="Q61" s="1825"/>
      <c r="R61" s="1825"/>
    </row>
    <row r="62" spans="2:20" ht="15.75">
      <c r="B62" s="1302" t="s">
        <v>687</v>
      </c>
      <c r="C62" s="1303"/>
      <c r="D62" s="1303"/>
      <c r="E62" s="1303"/>
      <c r="F62" s="1303"/>
      <c r="G62" s="1303"/>
      <c r="H62" s="1303"/>
      <c r="I62" s="1303"/>
      <c r="J62" s="1303"/>
      <c r="K62" s="1303"/>
      <c r="L62" s="1303"/>
      <c r="M62" s="1303"/>
      <c r="N62" s="1830"/>
      <c r="O62" s="1830"/>
      <c r="P62" s="1831">
        <f>(SUM(P48:P59)*-1)</f>
        <v>0</v>
      </c>
      <c r="Q62" s="1825"/>
      <c r="R62" s="1825"/>
    </row>
    <row r="63" spans="2:20" ht="15.75">
      <c r="B63" s="1306" t="s">
        <v>688</v>
      </c>
      <c r="C63" s="1307"/>
      <c r="D63" s="1307"/>
      <c r="E63" s="1307"/>
      <c r="F63" s="1307"/>
      <c r="G63" s="1307"/>
      <c r="H63" s="1307"/>
      <c r="I63" s="1307"/>
      <c r="J63" s="1307"/>
      <c r="K63" s="1307"/>
      <c r="L63" s="1307"/>
      <c r="M63" s="1307"/>
      <c r="N63" s="1832"/>
      <c r="O63" s="1832"/>
      <c r="P63" s="1823">
        <f>+F11</f>
        <v>0</v>
      </c>
      <c r="Q63" s="1825"/>
      <c r="R63" s="1825"/>
    </row>
    <row r="64" spans="2:20" ht="15.75">
      <c r="B64" s="1309" t="s">
        <v>689</v>
      </c>
      <c r="C64" s="1310"/>
      <c r="D64" s="1310"/>
      <c r="E64" s="1310"/>
      <c r="F64" s="1310"/>
      <c r="G64" s="1310"/>
      <c r="H64" s="1310"/>
      <c r="I64" s="1310"/>
      <c r="J64" s="1310"/>
      <c r="K64" s="1310"/>
      <c r="L64" s="1310"/>
      <c r="M64" s="1310"/>
      <c r="N64" s="1833"/>
      <c r="O64" s="1833"/>
      <c r="P64" s="1834">
        <f>+(P62-P63)</f>
        <v>0</v>
      </c>
      <c r="Q64" s="1825"/>
      <c r="R64" s="1825"/>
    </row>
    <row r="65" spans="2:18">
      <c r="B65" s="276"/>
      <c r="C65" s="276"/>
      <c r="D65" s="276"/>
      <c r="E65" s="276"/>
      <c r="F65" s="276"/>
      <c r="G65" s="276"/>
      <c r="H65" s="276"/>
      <c r="I65" s="276"/>
      <c r="J65" s="276"/>
      <c r="K65" s="276"/>
      <c r="L65" s="276"/>
      <c r="M65" s="276"/>
      <c r="N65" s="276"/>
      <c r="O65" s="276"/>
      <c r="P65" s="276"/>
      <c r="Q65" s="276"/>
      <c r="R65" s="276"/>
    </row>
    <row r="66" spans="2:18" ht="15.75" customHeight="1">
      <c r="B66" s="2282" t="s">
        <v>893</v>
      </c>
      <c r="C66" s="2282"/>
      <c r="D66" s="2282"/>
      <c r="E66" s="2282"/>
      <c r="F66" s="2282"/>
      <c r="G66" s="2282"/>
      <c r="H66" s="2282"/>
      <c r="I66" s="2282"/>
      <c r="J66" s="2282"/>
      <c r="K66" s="2282"/>
      <c r="L66" s="2282"/>
      <c r="M66" s="2282"/>
      <c r="N66" s="2282"/>
      <c r="O66" s="2282"/>
      <c r="P66" s="2282"/>
      <c r="Q66" s="1313"/>
      <c r="R66" s="1313"/>
    </row>
    <row r="67" spans="2:18" ht="12.75" customHeight="1">
      <c r="B67" s="2282"/>
      <c r="C67" s="2282"/>
      <c r="D67" s="2282"/>
      <c r="E67" s="2282"/>
      <c r="F67" s="2282"/>
      <c r="G67" s="2282"/>
      <c r="H67" s="2282"/>
      <c r="I67" s="2282"/>
      <c r="J67" s="2282"/>
      <c r="K67" s="2282"/>
      <c r="L67" s="2282"/>
      <c r="M67" s="2282"/>
      <c r="N67" s="2282"/>
      <c r="O67" s="2282"/>
      <c r="P67" s="2282"/>
      <c r="Q67" s="276"/>
      <c r="R67" s="276"/>
    </row>
    <row r="68" spans="2:18" ht="38.25" customHeight="1">
      <c r="B68" s="2282"/>
      <c r="C68" s="2282"/>
      <c r="D68" s="2282"/>
      <c r="E68" s="2282"/>
      <c r="F68" s="2282"/>
      <c r="G68" s="2282"/>
      <c r="H68" s="2282"/>
      <c r="I68" s="2282"/>
      <c r="J68" s="2282"/>
      <c r="K68" s="2282"/>
      <c r="L68" s="2282"/>
      <c r="M68" s="2282"/>
      <c r="N68" s="2282"/>
      <c r="O68" s="2282"/>
      <c r="P68" s="2282"/>
      <c r="Q68" s="1835"/>
      <c r="R68" s="1835"/>
    </row>
    <row r="70" spans="2:18" ht="22.5" customHeight="1">
      <c r="B70" s="2279" t="s">
        <v>894</v>
      </c>
      <c r="C70" s="2279"/>
      <c r="D70" s="2279"/>
      <c r="E70" s="2279"/>
      <c r="F70" s="2279"/>
      <c r="G70" s="2279"/>
      <c r="H70" s="2279"/>
      <c r="I70" s="2279"/>
      <c r="J70" s="2279"/>
      <c r="K70" s="2279"/>
      <c r="L70" s="2279"/>
      <c r="M70" s="2279"/>
      <c r="N70" s="2279"/>
      <c r="O70" s="2279"/>
      <c r="P70" s="2279"/>
    </row>
    <row r="73" spans="2:18" ht="15.75">
      <c r="B73" s="1279"/>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70"/>
  <sheetViews>
    <sheetView zoomScaleNormal="100" workbookViewId="0">
      <selection activeCell="P45" sqref="P45"/>
    </sheetView>
  </sheetViews>
  <sheetFormatPr defaultColWidth="9.28515625" defaultRowHeight="12.75"/>
  <cols>
    <col min="1" max="1" width="1.7109375" style="394" customWidth="1"/>
    <col min="2" max="2" width="25.28515625" style="394" customWidth="1"/>
    <col min="3" max="3" width="1.7109375" style="394" customWidth="1"/>
    <col min="4" max="4" width="22.5703125" style="394" customWidth="1"/>
    <col min="5" max="5" width="1.7109375" style="394" customWidth="1"/>
    <col min="6" max="6" width="24.7109375" style="394" customWidth="1"/>
    <col min="7" max="7" width="1.7109375" style="394" customWidth="1"/>
    <col min="8" max="8" width="21.42578125" style="394" customWidth="1"/>
    <col min="9" max="9" width="1.710937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3" style="394" hidden="1" customWidth="1"/>
    <col min="19" max="19" width="9.28515625" style="394"/>
    <col min="20" max="20" width="3" style="394" bestFit="1" customWidth="1"/>
    <col min="21" max="16384" width="9.28515625" style="394"/>
  </cols>
  <sheetData>
    <row r="1" spans="1:18" ht="15">
      <c r="A1" s="1246"/>
    </row>
    <row r="2" spans="1:18" ht="15.75">
      <c r="A2" s="1247"/>
    </row>
    <row r="3" spans="1:18" ht="15.75">
      <c r="A3" s="1247"/>
    </row>
    <row r="4" spans="1:18" ht="15.75">
      <c r="B4" s="2280" t="str">
        <f>+'SWT TCOS'!F4</f>
        <v xml:space="preserve">AEP West SPP Member Transmission Companies </v>
      </c>
      <c r="C4" s="2280"/>
      <c r="D4" s="2280"/>
      <c r="E4" s="2280"/>
      <c r="F4" s="2280"/>
      <c r="G4" s="2280"/>
      <c r="H4" s="2280"/>
      <c r="I4" s="2280"/>
      <c r="J4" s="2280"/>
      <c r="K4" s="2280"/>
      <c r="L4" s="2280"/>
      <c r="M4" s="2280"/>
      <c r="N4" s="2280"/>
      <c r="O4" s="2280"/>
      <c r="P4" s="2280"/>
    </row>
    <row r="5" spans="1:18" ht="15.75">
      <c r="B5" s="2281" t="str">
        <f>+'SWT WS A-1 - Plant'!A3</f>
        <v xml:space="preserve">Actual / Projected 2022 Rate Year Cost of Service Formula Rate </v>
      </c>
      <c r="C5" s="2281"/>
      <c r="D5" s="2281"/>
      <c r="E5" s="2281"/>
      <c r="F5" s="2281"/>
      <c r="G5" s="2281"/>
      <c r="H5" s="2281"/>
      <c r="I5" s="2281"/>
      <c r="J5" s="2281"/>
      <c r="K5" s="2281"/>
      <c r="L5" s="2281"/>
      <c r="M5" s="2281"/>
      <c r="N5" s="2281"/>
      <c r="O5" s="2281"/>
      <c r="P5" s="2281"/>
    </row>
    <row r="6" spans="1:18" ht="15.75">
      <c r="B6" s="2281" t="s">
        <v>690</v>
      </c>
      <c r="C6" s="2281"/>
      <c r="D6" s="2281"/>
      <c r="E6" s="2281"/>
      <c r="F6" s="2281"/>
      <c r="G6" s="2281"/>
      <c r="H6" s="2281"/>
      <c r="I6" s="2281"/>
      <c r="J6" s="2281"/>
      <c r="K6" s="2281"/>
      <c r="L6" s="2281"/>
      <c r="M6" s="2281"/>
      <c r="N6" s="2281"/>
      <c r="O6" s="2281"/>
      <c r="P6" s="2281"/>
    </row>
    <row r="7" spans="1:18" ht="15.75">
      <c r="B7" s="2243" t="str">
        <f>+'SWT TCOS'!F8</f>
        <v>AEP SOUTHWESTERN TRANSMISSION COMPANY</v>
      </c>
      <c r="C7" s="2243"/>
      <c r="D7" s="2243"/>
      <c r="E7" s="2243"/>
      <c r="F7" s="2243"/>
      <c r="G7" s="2243"/>
      <c r="H7" s="2243"/>
      <c r="I7" s="2243"/>
      <c r="J7" s="2243"/>
      <c r="K7" s="2243"/>
      <c r="L7" s="2243"/>
      <c r="M7" s="2243"/>
      <c r="N7" s="2243"/>
      <c r="O7" s="2243"/>
      <c r="P7" s="2243"/>
      <c r="Q7" s="1315"/>
      <c r="R7" s="1315"/>
    </row>
    <row r="8" spans="1:18">
      <c r="B8" s="276"/>
      <c r="C8" s="276"/>
      <c r="D8" s="276"/>
      <c r="E8" s="276"/>
      <c r="F8" s="276"/>
      <c r="G8" s="276"/>
      <c r="H8" s="276"/>
      <c r="I8" s="276"/>
      <c r="J8" s="276"/>
      <c r="K8" s="276"/>
      <c r="L8" s="276"/>
      <c r="M8" s="276"/>
      <c r="N8" s="276"/>
      <c r="O8" s="276"/>
      <c r="P8" s="276"/>
    </row>
    <row r="9" spans="1:18">
      <c r="B9" s="276"/>
      <c r="C9" s="276"/>
      <c r="D9" s="276"/>
      <c r="E9" s="276"/>
      <c r="F9" s="276"/>
      <c r="G9" s="276"/>
      <c r="H9" s="276"/>
      <c r="I9" s="276"/>
      <c r="J9" s="276"/>
      <c r="K9" s="276"/>
      <c r="L9" s="276"/>
      <c r="M9" s="276"/>
      <c r="N9" s="276"/>
      <c r="O9" s="276"/>
      <c r="P9" s="276"/>
    </row>
    <row r="10" spans="1:18" ht="16.5" thickBot="1">
      <c r="B10" s="1248"/>
      <c r="C10" s="1249"/>
      <c r="D10" s="276"/>
      <c r="E10" s="1249"/>
      <c r="F10" s="1249"/>
      <c r="G10" s="1249"/>
      <c r="H10" s="1249"/>
      <c r="I10" s="1249"/>
      <c r="J10" s="1249"/>
      <c r="K10" s="1249"/>
      <c r="O10" s="1249"/>
      <c r="P10" s="1249"/>
    </row>
    <row r="11" spans="1:18" ht="51.75">
      <c r="B11" s="1250" t="str">
        <f>"True up Revenue Requirement For Year "&amp;J11&amp;" Available May, "&amp;J12</f>
        <v>True up Revenue Requirement For Year 2022 Available May, 2023</v>
      </c>
      <c r="C11" s="1249"/>
      <c r="D11" s="1250" t="s">
        <v>914</v>
      </c>
      <c r="E11" s="1251"/>
      <c r="F11" s="1252" t="s">
        <v>670</v>
      </c>
      <c r="G11" s="404"/>
      <c r="H11" s="1253" t="s">
        <v>671</v>
      </c>
      <c r="I11" s="1249"/>
      <c r="J11" s="1254">
        <f>+'SWT TCOS'!N2</f>
        <v>2022</v>
      </c>
      <c r="K11" s="1249"/>
      <c r="O11" s="404"/>
      <c r="P11" s="404"/>
    </row>
    <row r="12" spans="1:18" ht="15.75">
      <c r="B12" s="1255" t="s">
        <v>251</v>
      </c>
      <c r="C12" s="1249"/>
      <c r="D12" s="1255"/>
      <c r="E12" s="1251"/>
      <c r="F12" s="1256"/>
      <c r="G12" s="404"/>
      <c r="H12" s="1257" t="s">
        <v>672</v>
      </c>
      <c r="I12" s="1258"/>
      <c r="J12" s="1259">
        <f>J11+1</f>
        <v>2023</v>
      </c>
      <c r="O12" s="404"/>
      <c r="P12" s="404"/>
    </row>
    <row r="13" spans="1:18" ht="16.5" thickBot="1">
      <c r="B13" s="1260">
        <f>+'Zonal Rates'!M34</f>
        <v>115665.53051465572</v>
      </c>
      <c r="C13" s="1261" t="s">
        <v>673</v>
      </c>
      <c r="D13" s="1260">
        <v>108535.97085431402</v>
      </c>
      <c r="E13" s="1262" t="s">
        <v>674</v>
      </c>
      <c r="F13" s="1263">
        <f>IF(B13=0,0,D13-B13)</f>
        <v>-7129.5596603417071</v>
      </c>
      <c r="G13" s="1264"/>
      <c r="H13" s="1265" t="s">
        <v>675</v>
      </c>
      <c r="I13" s="1266"/>
      <c r="J13" s="1267">
        <f>J12+1</f>
        <v>2024</v>
      </c>
      <c r="O13" s="404"/>
      <c r="P13" s="404"/>
    </row>
    <row r="14" spans="1:18" ht="15.75">
      <c r="B14" s="1266"/>
      <c r="C14" s="1268"/>
      <c r="D14" s="1266"/>
      <c r="E14" s="1266"/>
      <c r="F14" s="1266"/>
      <c r="G14" s="1266"/>
      <c r="H14" s="404"/>
      <c r="I14" s="404"/>
      <c r="O14" s="404"/>
      <c r="P14" s="404"/>
    </row>
    <row r="15" spans="1:18" ht="16.5" thickBot="1">
      <c r="B15" s="1269"/>
      <c r="C15" s="1270"/>
      <c r="D15" s="1269"/>
      <c r="E15" s="1269"/>
      <c r="F15" s="1269"/>
      <c r="G15" s="1269"/>
      <c r="H15" s="1269"/>
      <c r="I15" s="1269"/>
      <c r="J15" s="1269"/>
      <c r="K15" s="1269"/>
      <c r="L15" s="1269"/>
      <c r="M15" s="1269"/>
      <c r="N15" s="1272"/>
      <c r="O15" s="1272"/>
      <c r="P15" s="1272"/>
    </row>
    <row r="16" spans="1:18" ht="15.75">
      <c r="B16" s="1273"/>
      <c r="C16" s="1268"/>
      <c r="D16" s="1266"/>
      <c r="E16" s="1266"/>
      <c r="F16" s="1266"/>
      <c r="G16" s="1266"/>
      <c r="H16" s="1266"/>
      <c r="I16" s="1266"/>
      <c r="J16" s="1266"/>
      <c r="K16" s="1266"/>
      <c r="L16" s="1266"/>
      <c r="M16" s="1266"/>
      <c r="N16" s="404"/>
      <c r="O16" s="404"/>
      <c r="P16" s="404"/>
    </row>
    <row r="17" spans="2:18" ht="63">
      <c r="B17" s="1274" t="s">
        <v>676</v>
      </c>
      <c r="C17" s="1268"/>
      <c r="D17" s="1275" t="s">
        <v>677</v>
      </c>
      <c r="E17" s="1275"/>
      <c r="F17" s="1275" t="s">
        <v>678</v>
      </c>
      <c r="G17" s="1275"/>
      <c r="H17" s="1275" t="s">
        <v>679</v>
      </c>
      <c r="I17" s="1266"/>
      <c r="J17" s="1276" t="s">
        <v>680</v>
      </c>
      <c r="K17" s="1266"/>
      <c r="L17" s="1275" t="s">
        <v>896</v>
      </c>
      <c r="M17" s="1277"/>
      <c r="N17" s="1276" t="s">
        <v>681</v>
      </c>
      <c r="O17" s="1278"/>
      <c r="P17" s="1275" t="s">
        <v>683</v>
      </c>
    </row>
    <row r="18" spans="2:18" ht="15.75">
      <c r="B18" s="1279"/>
      <c r="C18" s="1268"/>
      <c r="D18" s="404"/>
      <c r="E18" s="404"/>
      <c r="F18" s="404"/>
      <c r="G18" s="404"/>
      <c r="H18" s="404"/>
      <c r="I18" s="1820"/>
      <c r="J18" s="1820"/>
      <c r="K18" s="1820"/>
      <c r="N18" s="404"/>
      <c r="O18" s="404"/>
      <c r="P18" s="404"/>
    </row>
    <row r="19" spans="2:18" ht="15.75">
      <c r="B19" s="1316" t="s">
        <v>684</v>
      </c>
      <c r="C19" s="1268"/>
      <c r="D19" s="1268"/>
      <c r="E19" s="1268"/>
      <c r="F19" s="1268"/>
      <c r="G19" s="1268"/>
      <c r="H19" s="1268"/>
      <c r="I19" s="1268"/>
      <c r="J19" s="1268"/>
      <c r="K19" s="1268"/>
      <c r="L19" s="404"/>
      <c r="M19" s="404"/>
      <c r="N19" s="1277"/>
      <c r="O19" s="1268"/>
      <c r="P19" s="1268"/>
    </row>
    <row r="20" spans="2:18" ht="15.75">
      <c r="B20" s="1282" t="s">
        <v>124</v>
      </c>
      <c r="C20" s="1268"/>
      <c r="D20" s="1268"/>
      <c r="E20" s="1268"/>
      <c r="F20" s="1268"/>
      <c r="G20" s="1268"/>
      <c r="H20" s="1268"/>
      <c r="I20" s="1268"/>
      <c r="J20" s="1268"/>
      <c r="K20" s="1268"/>
      <c r="L20" s="404"/>
      <c r="M20" s="404"/>
      <c r="N20" s="1277"/>
      <c r="O20" s="1268"/>
      <c r="P20" s="1268"/>
    </row>
    <row r="21" spans="2:18" ht="15.75">
      <c r="B21" s="1283">
        <f t="shared" ref="B21:B32" si="0">DATE($J$11,R21,1)</f>
        <v>44562</v>
      </c>
      <c r="C21" s="1249"/>
      <c r="D21" s="1821">
        <f>F13/12</f>
        <v>-594.12997169514222</v>
      </c>
      <c r="E21" s="1822"/>
      <c r="F21" s="1821">
        <v>0</v>
      </c>
      <c r="G21" s="1821"/>
      <c r="H21" s="1821">
        <v>0</v>
      </c>
      <c r="I21" s="1821"/>
      <c r="J21" s="1821">
        <f>F21+H21</f>
        <v>0</v>
      </c>
      <c r="K21" s="1822"/>
      <c r="L21" s="1286">
        <f>+'SWT WS Q Interest Rate'!E13</f>
        <v>2.8E-3</v>
      </c>
      <c r="M21" s="1287"/>
      <c r="N21" s="1821">
        <f t="shared" ref="N21:N32" si="1">J21*L21</f>
        <v>0</v>
      </c>
      <c r="O21" s="1821"/>
      <c r="P21" s="1821">
        <f>D21+N21</f>
        <v>-594.12997169514222</v>
      </c>
      <c r="R21" s="394">
        <v>1</v>
      </c>
    </row>
    <row r="22" spans="2:18" ht="15.75">
      <c r="B22" s="1283">
        <f t="shared" si="0"/>
        <v>44593</v>
      </c>
      <c r="C22" s="1249"/>
      <c r="D22" s="1821">
        <f>+D21</f>
        <v>-594.12997169514222</v>
      </c>
      <c r="E22" s="1822"/>
      <c r="F22" s="1821">
        <f>D21</f>
        <v>-594.12997169514222</v>
      </c>
      <c r="G22" s="1821"/>
      <c r="H22" s="1821">
        <v>0</v>
      </c>
      <c r="I22" s="1821"/>
      <c r="J22" s="1821">
        <f t="shared" ref="J22:J31" si="2">F22+H22</f>
        <v>-594.12997169514222</v>
      </c>
      <c r="K22" s="1822"/>
      <c r="L22" s="1286">
        <f>+'SWT WS Q Interest Rate'!E14</f>
        <v>2.5000000000000001E-3</v>
      </c>
      <c r="M22" s="1287"/>
      <c r="N22" s="1821">
        <f t="shared" si="1"/>
        <v>-1.4853249292378556</v>
      </c>
      <c r="O22" s="1821"/>
      <c r="P22" s="1821">
        <f>SUM($D$21:D22)+SUM($N$21:N22)</f>
        <v>-1189.7452683195222</v>
      </c>
      <c r="R22" s="394">
        <v>2</v>
      </c>
    </row>
    <row r="23" spans="2:18" ht="15.75">
      <c r="B23" s="1283">
        <f t="shared" si="0"/>
        <v>44621</v>
      </c>
      <c r="C23" s="1249"/>
      <c r="D23" s="1821">
        <f>+D22</f>
        <v>-594.12997169514222</v>
      </c>
      <c r="E23" s="1822"/>
      <c r="F23" s="1821">
        <f>D22+F22</f>
        <v>-1188.2599433902844</v>
      </c>
      <c r="G23" s="1821"/>
      <c r="H23" s="1821">
        <v>0</v>
      </c>
      <c r="I23" s="1821"/>
      <c r="J23" s="1821">
        <f t="shared" si="2"/>
        <v>-1188.2599433902844</v>
      </c>
      <c r="K23" s="1822"/>
      <c r="L23" s="1286">
        <f>+'SWT WS Q Interest Rate'!E15</f>
        <v>2.8E-3</v>
      </c>
      <c r="M23" s="1287"/>
      <c r="N23" s="1821">
        <f t="shared" si="1"/>
        <v>-3.3271278414927963</v>
      </c>
      <c r="O23" s="1821"/>
      <c r="P23" s="1821">
        <f>SUM($D$21:D23)+SUM($N$21:N23)</f>
        <v>-1787.2023678561575</v>
      </c>
      <c r="R23" s="394">
        <v>3</v>
      </c>
    </row>
    <row r="24" spans="2:18" ht="15.75">
      <c r="B24" s="1283">
        <f t="shared" si="0"/>
        <v>44652</v>
      </c>
      <c r="C24" s="1249"/>
      <c r="D24" s="1821">
        <f>+D23</f>
        <v>-594.12997169514222</v>
      </c>
      <c r="E24" s="1822"/>
      <c r="F24" s="1821">
        <f t="shared" ref="F24:F30" si="3">D23+F23</f>
        <v>-1782.3899150854268</v>
      </c>
      <c r="G24" s="1821"/>
      <c r="H24" s="1821">
        <f>SUM($N$21:$N$23)</f>
        <v>-4.8124527707306521</v>
      </c>
      <c r="I24" s="1821"/>
      <c r="J24" s="1821">
        <f t="shared" si="2"/>
        <v>-1787.2023678561575</v>
      </c>
      <c r="K24" s="1822"/>
      <c r="L24" s="1286">
        <f>+'SWT WS Q Interest Rate'!E16</f>
        <v>2.7000000000000001E-3</v>
      </c>
      <c r="M24" s="1287"/>
      <c r="N24" s="1821">
        <f t="shared" si="1"/>
        <v>-4.8254463932116254</v>
      </c>
      <c r="O24" s="1821"/>
      <c r="P24" s="1821">
        <f>SUM($D$21:D24)+SUM($N$21:N24)</f>
        <v>-2386.157785944511</v>
      </c>
      <c r="R24" s="394">
        <v>4</v>
      </c>
    </row>
    <row r="25" spans="2:18" ht="15.75">
      <c r="B25" s="1283">
        <f t="shared" si="0"/>
        <v>44682</v>
      </c>
      <c r="C25" s="1249"/>
      <c r="D25" s="1821">
        <f t="shared" ref="D25:D30" si="4">+D24</f>
        <v>-594.12997169514222</v>
      </c>
      <c r="E25" s="1822"/>
      <c r="F25" s="1821">
        <f t="shared" si="3"/>
        <v>-2376.5198867805689</v>
      </c>
      <c r="G25" s="1821"/>
      <c r="H25" s="1821">
        <f t="shared" ref="H25:H26" si="5">SUM($N$21:$N$23)</f>
        <v>-4.8124527707306521</v>
      </c>
      <c r="I25" s="1821"/>
      <c r="J25" s="1821">
        <f t="shared" si="2"/>
        <v>-2381.3323395512994</v>
      </c>
      <c r="K25" s="1822"/>
      <c r="L25" s="1286">
        <f>+'SWT WS Q Interest Rate'!E17</f>
        <v>2.8E-3</v>
      </c>
      <c r="M25" s="1287"/>
      <c r="N25" s="1821">
        <f t="shared" si="1"/>
        <v>-6.667730550743638</v>
      </c>
      <c r="O25" s="1821"/>
      <c r="P25" s="1821">
        <f>SUM($D$21:D25)+SUM($N$21:N25)</f>
        <v>-2986.9554881903969</v>
      </c>
      <c r="R25" s="394">
        <v>5</v>
      </c>
    </row>
    <row r="26" spans="2:18" ht="15.75">
      <c r="B26" s="1283">
        <f t="shared" si="0"/>
        <v>44713</v>
      </c>
      <c r="C26" s="1249"/>
      <c r="D26" s="1821">
        <f t="shared" si="4"/>
        <v>-594.12997169514222</v>
      </c>
      <c r="E26" s="1822"/>
      <c r="F26" s="1821">
        <f t="shared" si="3"/>
        <v>-2970.649858475711</v>
      </c>
      <c r="G26" s="1821"/>
      <c r="H26" s="1821">
        <f t="shared" si="5"/>
        <v>-4.8124527707306521</v>
      </c>
      <c r="I26" s="1821"/>
      <c r="J26" s="1821">
        <f t="shared" si="2"/>
        <v>-2975.4623112464415</v>
      </c>
      <c r="K26" s="1822"/>
      <c r="L26" s="1286">
        <f>+'SWT WS Q Interest Rate'!E18</f>
        <v>2.7000000000000001E-3</v>
      </c>
      <c r="M26" s="1287"/>
      <c r="N26" s="1821">
        <f t="shared" si="1"/>
        <v>-8.0337482403653926</v>
      </c>
      <c r="O26" s="1821"/>
      <c r="P26" s="1821">
        <f>SUM($D$21:D26)+SUM($N$21:N26)</f>
        <v>-3589.1192081259042</v>
      </c>
      <c r="R26" s="394">
        <v>6</v>
      </c>
    </row>
    <row r="27" spans="2:18" ht="15.75">
      <c r="B27" s="1283">
        <f t="shared" si="0"/>
        <v>44743</v>
      </c>
      <c r="C27" s="1249"/>
      <c r="D27" s="1821">
        <f t="shared" si="4"/>
        <v>-594.12997169514222</v>
      </c>
      <c r="E27" s="1822"/>
      <c r="F27" s="1821">
        <f t="shared" si="3"/>
        <v>-3564.7798301708531</v>
      </c>
      <c r="G27" s="1821"/>
      <c r="H27" s="1821">
        <f>$H$26+SUM($N$24:$N$26)</f>
        <v>-24.339377955051305</v>
      </c>
      <c r="I27" s="1821"/>
      <c r="J27" s="1821">
        <f t="shared" si="2"/>
        <v>-3589.1192081259042</v>
      </c>
      <c r="K27" s="1822"/>
      <c r="L27" s="1286">
        <f>+'SWT WS Q Interest Rate'!E19</f>
        <v>3.0999999999999999E-3</v>
      </c>
      <c r="M27" s="1287"/>
      <c r="N27" s="1821">
        <f t="shared" si="1"/>
        <v>-11.126269545190302</v>
      </c>
      <c r="O27" s="1821"/>
      <c r="P27" s="1821">
        <f>SUM($D$21:D27)+SUM($N$21:N27)</f>
        <v>-4194.3754493662364</v>
      </c>
      <c r="R27" s="394">
        <v>7</v>
      </c>
    </row>
    <row r="28" spans="2:18" ht="15.75">
      <c r="B28" s="1283">
        <f t="shared" si="0"/>
        <v>44774</v>
      </c>
      <c r="C28" s="1249"/>
      <c r="D28" s="1821">
        <f t="shared" si="4"/>
        <v>-594.12997169514222</v>
      </c>
      <c r="E28" s="1822"/>
      <c r="F28" s="1821">
        <f t="shared" si="3"/>
        <v>-4158.9098018659952</v>
      </c>
      <c r="G28" s="1821"/>
      <c r="H28" s="1821">
        <f>$H$26+SUM($N$24:$N$26)</f>
        <v>-24.339377955051305</v>
      </c>
      <c r="I28" s="1821"/>
      <c r="J28" s="1821">
        <f t="shared" si="2"/>
        <v>-4183.2491798210467</v>
      </c>
      <c r="K28" s="1822"/>
      <c r="L28" s="1286">
        <f>+'SWT WS Q Interest Rate'!E20</f>
        <v>3.0999999999999999E-3</v>
      </c>
      <c r="M28" s="1287"/>
      <c r="N28" s="1821">
        <f t="shared" si="1"/>
        <v>-12.968072457445244</v>
      </c>
      <c r="O28" s="1821"/>
      <c r="P28" s="1821">
        <f>SUM($D$21:D28)+SUM($N$21:N28)</f>
        <v>-4801.4734935188244</v>
      </c>
      <c r="R28" s="394">
        <v>8</v>
      </c>
    </row>
    <row r="29" spans="2:18" ht="15.75">
      <c r="B29" s="1283">
        <f t="shared" si="0"/>
        <v>44805</v>
      </c>
      <c r="C29" s="1249"/>
      <c r="D29" s="1821">
        <f t="shared" si="4"/>
        <v>-594.12997169514222</v>
      </c>
      <c r="E29" s="1822"/>
      <c r="F29" s="1821">
        <f t="shared" si="3"/>
        <v>-4753.0397735611377</v>
      </c>
      <c r="G29" s="1821"/>
      <c r="H29" s="1821">
        <f>$H$26+SUM($N$24:$N$26)</f>
        <v>-24.339377955051305</v>
      </c>
      <c r="I29" s="1821"/>
      <c r="J29" s="1821">
        <f t="shared" si="2"/>
        <v>-4777.3791515161893</v>
      </c>
      <c r="K29" s="1822"/>
      <c r="L29" s="1286">
        <f>+'SWT WS Q Interest Rate'!E21</f>
        <v>3.0000000000000001E-3</v>
      </c>
      <c r="M29" s="1287"/>
      <c r="N29" s="1821">
        <f t="shared" si="1"/>
        <v>-14.332137454548569</v>
      </c>
      <c r="O29" s="1821"/>
      <c r="P29" s="1821">
        <f>SUM($D$21:D29)+SUM($N$21:N29)</f>
        <v>-5409.9356026685155</v>
      </c>
      <c r="R29" s="394">
        <v>9</v>
      </c>
    </row>
    <row r="30" spans="2:18" ht="15.75">
      <c r="B30" s="1283">
        <f t="shared" si="0"/>
        <v>44835</v>
      </c>
      <c r="C30" s="1249"/>
      <c r="D30" s="1821">
        <f t="shared" si="4"/>
        <v>-594.12997169514222</v>
      </c>
      <c r="E30" s="1822"/>
      <c r="F30" s="1821">
        <f t="shared" si="3"/>
        <v>-5347.1697452562803</v>
      </c>
      <c r="G30" s="1821"/>
      <c r="H30" s="1821">
        <f>$H$29+SUM($N$27:$N$29)</f>
        <v>-62.76585741223542</v>
      </c>
      <c r="I30" s="1821"/>
      <c r="J30" s="1821">
        <f t="shared" si="2"/>
        <v>-5409.9356026685155</v>
      </c>
      <c r="K30" s="1822"/>
      <c r="L30" s="1286">
        <f>+'SWT WS Q Interest Rate'!E22</f>
        <v>4.1999999999999997E-3</v>
      </c>
      <c r="M30" s="1287"/>
      <c r="N30" s="1821">
        <f t="shared" si="1"/>
        <v>-22.721729531207764</v>
      </c>
      <c r="O30" s="1821"/>
      <c r="P30" s="1821">
        <f>SUM($D$21:D30)+SUM($N$21:N30)</f>
        <v>-6026.7873038948665</v>
      </c>
      <c r="R30" s="394">
        <v>10</v>
      </c>
    </row>
    <row r="31" spans="2:18" ht="15.75">
      <c r="B31" s="1283">
        <f t="shared" si="0"/>
        <v>44866</v>
      </c>
      <c r="C31" s="1249"/>
      <c r="D31" s="1821">
        <f>+D30</f>
        <v>-594.12997169514222</v>
      </c>
      <c r="E31" s="1822"/>
      <c r="F31" s="1821">
        <f>D30+F30</f>
        <v>-5941.2997169514229</v>
      </c>
      <c r="G31" s="1821"/>
      <c r="H31" s="1821">
        <f>$H$29+SUM($N$27:$N$29)</f>
        <v>-62.76585741223542</v>
      </c>
      <c r="I31" s="1821"/>
      <c r="J31" s="1821">
        <f t="shared" si="2"/>
        <v>-6004.065574363658</v>
      </c>
      <c r="K31" s="1822"/>
      <c r="L31" s="1286">
        <f>+'SWT WS Q Interest Rate'!E23</f>
        <v>4.0000000000000001E-3</v>
      </c>
      <c r="M31" s="1287"/>
      <c r="N31" s="1821">
        <f t="shared" si="1"/>
        <v>-24.016262297454631</v>
      </c>
      <c r="O31" s="1821"/>
      <c r="P31" s="1821">
        <f>SUM($D$21:D31)+SUM($N$21:N31)</f>
        <v>-6644.933537887463</v>
      </c>
      <c r="R31" s="394">
        <v>11</v>
      </c>
    </row>
    <row r="32" spans="2:18" ht="15.75">
      <c r="B32" s="1283">
        <f t="shared" si="0"/>
        <v>44896</v>
      </c>
      <c r="C32" s="1249"/>
      <c r="D32" s="1821">
        <f>+D31</f>
        <v>-594.12997169514222</v>
      </c>
      <c r="E32" s="1822"/>
      <c r="F32" s="1821">
        <f>D31+F31</f>
        <v>-6535.4296886465654</v>
      </c>
      <c r="G32" s="1821"/>
      <c r="H32" s="1821">
        <f>$H$29+SUM($N$27:$N$29)</f>
        <v>-62.76585741223542</v>
      </c>
      <c r="I32" s="1821"/>
      <c r="J32" s="1821">
        <f>F32+H32</f>
        <v>-6598.1955460588006</v>
      </c>
      <c r="K32" s="1822"/>
      <c r="L32" s="1286">
        <f>+'SWT WS Q Interest Rate'!E24</f>
        <v>4.1999999999999997E-3</v>
      </c>
      <c r="M32" s="1287"/>
      <c r="N32" s="1821">
        <f t="shared" si="1"/>
        <v>-27.712421293446962</v>
      </c>
      <c r="O32" s="1821"/>
      <c r="P32" s="1821">
        <f>SUM($D$21:D32)+SUM($N$21:N32)</f>
        <v>-7266.7759308760524</v>
      </c>
      <c r="R32" s="394">
        <v>12</v>
      </c>
    </row>
    <row r="33" spans="2:20" ht="15.75">
      <c r="B33" s="1249"/>
      <c r="C33" s="1249"/>
      <c r="D33" s="1821"/>
      <c r="E33" s="1822"/>
      <c r="F33" s="1821"/>
      <c r="G33" s="1821"/>
      <c r="H33" s="1821"/>
      <c r="I33" s="1821"/>
      <c r="J33" s="1821"/>
      <c r="K33" s="1822"/>
      <c r="L33" s="1268"/>
      <c r="M33" s="1249"/>
      <c r="N33" s="1823"/>
      <c r="O33" s="1821"/>
      <c r="P33" s="1824"/>
    </row>
    <row r="34" spans="2:20" ht="15.75">
      <c r="B34" s="1282" t="s">
        <v>685</v>
      </c>
      <c r="C34" s="1249"/>
      <c r="D34" s="1821"/>
      <c r="E34" s="1822"/>
      <c r="F34" s="1821"/>
      <c r="G34" s="1821"/>
      <c r="H34" s="1821"/>
      <c r="I34" s="1821"/>
      <c r="J34" s="1821"/>
      <c r="K34" s="1822"/>
      <c r="L34" s="1268"/>
      <c r="M34" s="1249"/>
      <c r="N34" s="1821"/>
      <c r="O34" s="1821"/>
      <c r="P34" s="1825"/>
    </row>
    <row r="35" spans="2:20" ht="15.75">
      <c r="B35" s="1283">
        <f t="shared" ref="B35:B40" si="6">DATE($J$12,R35,1)</f>
        <v>44927</v>
      </c>
      <c r="C35" s="1249"/>
      <c r="D35" s="1821">
        <v>0</v>
      </c>
      <c r="E35" s="1822"/>
      <c r="F35" s="1821">
        <f>D32+F32</f>
        <v>-7129.559660341708</v>
      </c>
      <c r="G35" s="1821"/>
      <c r="H35" s="1821">
        <f>$H$32+SUM($N$30:$N$32)</f>
        <v>-137.21627053434477</v>
      </c>
      <c r="I35" s="1821"/>
      <c r="J35" s="1821">
        <f>F35+H35</f>
        <v>-7266.7759308760524</v>
      </c>
      <c r="K35" s="1822"/>
      <c r="L35" s="1286">
        <f>+'SWT WS Q Interest Rate'!E25</f>
        <v>5.4000000000000003E-3</v>
      </c>
      <c r="M35" s="1287"/>
      <c r="N35" s="1821">
        <f t="shared" ref="N35:N40" si="7">J35*L35</f>
        <v>-39.240590026730686</v>
      </c>
      <c r="O35" s="1821"/>
      <c r="P35" s="1821">
        <f>SUM($D$21:D35)+SUM($N$21:N35)</f>
        <v>-7306.0165209027837</v>
      </c>
      <c r="R35" s="394">
        <v>1</v>
      </c>
    </row>
    <row r="36" spans="2:20" ht="15.75">
      <c r="B36" s="1283">
        <f t="shared" si="6"/>
        <v>44958</v>
      </c>
      <c r="C36" s="1249"/>
      <c r="D36" s="1821">
        <v>0</v>
      </c>
      <c r="E36" s="1822"/>
      <c r="F36" s="1821">
        <f>D35+F35</f>
        <v>-7129.559660341708</v>
      </c>
      <c r="G36" s="1821"/>
      <c r="H36" s="1821">
        <f>$H$32+SUM($N$30:$N$32)</f>
        <v>-137.21627053434477</v>
      </c>
      <c r="I36" s="1821"/>
      <c r="J36" s="1821">
        <f>F36+H36</f>
        <v>-7266.7759308760524</v>
      </c>
      <c r="K36" s="1822"/>
      <c r="L36" s="1286">
        <f>+'SWT WS Q Interest Rate'!E26</f>
        <v>4.7999999999999996E-3</v>
      </c>
      <c r="M36" s="1287"/>
      <c r="N36" s="1821">
        <f t="shared" si="7"/>
        <v>-34.880524468205046</v>
      </c>
      <c r="O36" s="1821"/>
      <c r="P36" s="1821">
        <f>SUM($D$21:D36)+SUM($N$21:N36)</f>
        <v>-7340.8970453709881</v>
      </c>
      <c r="R36" s="394">
        <v>2</v>
      </c>
    </row>
    <row r="37" spans="2:20" ht="15.75">
      <c r="B37" s="1283">
        <f t="shared" si="6"/>
        <v>44986</v>
      </c>
      <c r="C37" s="1249"/>
      <c r="D37" s="1821">
        <v>0</v>
      </c>
      <c r="E37" s="1822"/>
      <c r="F37" s="1821">
        <f t="shared" ref="F37:F40" si="8">D36+F36</f>
        <v>-7129.559660341708</v>
      </c>
      <c r="G37" s="1821"/>
      <c r="H37" s="1821">
        <f>$H$32+SUM($N$30:$N$32)</f>
        <v>-137.21627053434477</v>
      </c>
      <c r="I37" s="1821"/>
      <c r="J37" s="1821">
        <f t="shared" ref="J37:J40" si="9">F37+H37</f>
        <v>-7266.7759308760524</v>
      </c>
      <c r="K37" s="1822"/>
      <c r="L37" s="1286">
        <f>+'SWT WS Q Interest Rate'!E27</f>
        <v>5.4000000000000003E-3</v>
      </c>
      <c r="M37" s="1287"/>
      <c r="N37" s="1821">
        <f t="shared" si="7"/>
        <v>-39.240590026730686</v>
      </c>
      <c r="O37" s="1821"/>
      <c r="P37" s="1821">
        <f>SUM($D$21:D37)+SUM($N$21:N37)</f>
        <v>-7380.1376353977194</v>
      </c>
      <c r="R37" s="394">
        <v>3</v>
      </c>
    </row>
    <row r="38" spans="2:20" ht="15.75">
      <c r="B38" s="1283">
        <f t="shared" si="6"/>
        <v>45017</v>
      </c>
      <c r="C38" s="1249"/>
      <c r="D38" s="1821">
        <v>0</v>
      </c>
      <c r="E38" s="1822"/>
      <c r="F38" s="1821">
        <f t="shared" si="8"/>
        <v>-7129.559660341708</v>
      </c>
      <c r="G38" s="1821"/>
      <c r="H38" s="1821">
        <f>$H$37+SUM($N$35:$N$37)</f>
        <v>-250.57797505601121</v>
      </c>
      <c r="I38" s="1821"/>
      <c r="J38" s="1821">
        <f>F38+H38</f>
        <v>-7380.1376353977194</v>
      </c>
      <c r="K38" s="1822"/>
      <c r="L38" s="1286">
        <f>+'SWT WS Q Interest Rate'!E28</f>
        <v>6.1999999999999998E-3</v>
      </c>
      <c r="M38" s="1287"/>
      <c r="N38" s="1821">
        <f t="shared" si="7"/>
        <v>-45.756853339465856</v>
      </c>
      <c r="O38" s="1821"/>
      <c r="P38" s="1821">
        <f>SUM($D$21:D38)+SUM($N$21:N38)</f>
        <v>-7425.8944887371854</v>
      </c>
      <c r="R38" s="394">
        <v>4</v>
      </c>
    </row>
    <row r="39" spans="2:20" ht="15.75">
      <c r="B39" s="1283">
        <f t="shared" si="6"/>
        <v>45047</v>
      </c>
      <c r="C39" s="1249"/>
      <c r="D39" s="1821">
        <v>0</v>
      </c>
      <c r="E39" s="1822"/>
      <c r="F39" s="1821">
        <f t="shared" si="8"/>
        <v>-7129.559660341708</v>
      </c>
      <c r="G39" s="1821"/>
      <c r="H39" s="1821">
        <f>$H$37+SUM($N$35:$N$37)</f>
        <v>-250.57797505601121</v>
      </c>
      <c r="I39" s="1821"/>
      <c r="J39" s="1821">
        <f t="shared" si="9"/>
        <v>-7380.1376353977194</v>
      </c>
      <c r="K39" s="1822"/>
      <c r="L39" s="1286">
        <f>+'SWT WS Q Interest Rate'!E29</f>
        <v>6.4000000000000003E-3</v>
      </c>
      <c r="M39" s="1287"/>
      <c r="N39" s="1821">
        <f t="shared" si="7"/>
        <v>-47.232880866545408</v>
      </c>
      <c r="O39" s="1821"/>
      <c r="P39" s="1821">
        <f>SUM($D$21:D39)+SUM($N$21:N39)</f>
        <v>-7473.1273696037306</v>
      </c>
      <c r="R39" s="394">
        <v>5</v>
      </c>
    </row>
    <row r="40" spans="2:20" ht="16.5" thickBot="1">
      <c r="B40" s="1298">
        <f t="shared" si="6"/>
        <v>45078</v>
      </c>
      <c r="C40" s="1299"/>
      <c r="D40" s="1829">
        <v>0</v>
      </c>
      <c r="E40" s="1836"/>
      <c r="F40" s="1829">
        <f t="shared" si="8"/>
        <v>-7129.559660341708</v>
      </c>
      <c r="G40" s="1829"/>
      <c r="H40" s="1829">
        <f>$H$37+SUM($N$35:$N$37)</f>
        <v>-250.57797505601121</v>
      </c>
      <c r="I40" s="1829"/>
      <c r="J40" s="1829">
        <f t="shared" si="9"/>
        <v>-7380.1376353977194</v>
      </c>
      <c r="K40" s="1836"/>
      <c r="L40" s="1301">
        <f>+'SWT WS Q Interest Rate'!E30</f>
        <v>6.1999999999999998E-3</v>
      </c>
      <c r="M40" s="1318"/>
      <c r="N40" s="1829">
        <f t="shared" si="7"/>
        <v>-45.756853339465856</v>
      </c>
      <c r="O40" s="1829"/>
      <c r="P40" s="1829">
        <f>SUM($D$21:D40)+SUM($N$21:N40)</f>
        <v>-7518.8842229431966</v>
      </c>
      <c r="R40" s="394">
        <v>6</v>
      </c>
    </row>
    <row r="41" spans="2:20" ht="15.75">
      <c r="B41" s="1249"/>
      <c r="C41" s="1249"/>
      <c r="D41" s="1266"/>
      <c r="E41" s="1266"/>
      <c r="F41" s="1266"/>
      <c r="G41" s="1266"/>
      <c r="H41" s="1266"/>
      <c r="I41" s="1266"/>
      <c r="J41" s="1266"/>
      <c r="K41" s="1266"/>
      <c r="L41" s="1249"/>
      <c r="M41" s="1249"/>
      <c r="N41" s="1821"/>
      <c r="O41" s="1821"/>
      <c r="P41" s="1821"/>
    </row>
    <row r="42" spans="2:20" ht="15">
      <c r="B42" s="404"/>
      <c r="C42" s="404"/>
      <c r="D42" s="404"/>
      <c r="E42" s="404"/>
      <c r="F42" s="404"/>
      <c r="G42" s="404"/>
      <c r="H42" s="404"/>
      <c r="I42" s="404"/>
      <c r="J42" s="404"/>
      <c r="K42" s="404"/>
      <c r="L42" s="404"/>
      <c r="M42" s="404"/>
      <c r="N42" s="1825"/>
      <c r="O42" s="1825"/>
      <c r="P42" s="1825"/>
    </row>
    <row r="43" spans="2:20" ht="15.75">
      <c r="B43" s="1302" t="s">
        <v>687</v>
      </c>
      <c r="C43" s="1303"/>
      <c r="D43" s="1303"/>
      <c r="E43" s="1303"/>
      <c r="F43" s="1303"/>
      <c r="G43" s="1303"/>
      <c r="H43" s="1303"/>
      <c r="I43" s="1303"/>
      <c r="J43" s="1303"/>
      <c r="K43" s="1303"/>
      <c r="L43" s="1303"/>
      <c r="M43" s="1303"/>
      <c r="N43" s="1319"/>
      <c r="O43" s="1830"/>
      <c r="P43" s="1831">
        <f>P40</f>
        <v>-7518.8842229431966</v>
      </c>
    </row>
    <row r="44" spans="2:20" ht="15.75">
      <c r="B44" s="1306" t="s">
        <v>688</v>
      </c>
      <c r="C44" s="1307"/>
      <c r="D44" s="1307"/>
      <c r="E44" s="1307"/>
      <c r="F44" s="1307"/>
      <c r="G44" s="1307"/>
      <c r="H44" s="1307"/>
      <c r="I44" s="1307"/>
      <c r="J44" s="1307"/>
      <c r="K44" s="1307"/>
      <c r="L44" s="1307"/>
      <c r="M44" s="1307"/>
      <c r="N44" s="1320"/>
      <c r="O44" s="1832"/>
      <c r="P44" s="1823">
        <f>+F13</f>
        <v>-7129.5596603417071</v>
      </c>
    </row>
    <row r="45" spans="2:20" ht="15.75">
      <c r="B45" s="1309" t="s">
        <v>689</v>
      </c>
      <c r="C45" s="1310"/>
      <c r="D45" s="1310"/>
      <c r="E45" s="1310"/>
      <c r="F45" s="1310"/>
      <c r="G45" s="1310"/>
      <c r="H45" s="1310"/>
      <c r="I45" s="1310"/>
      <c r="J45" s="1310"/>
      <c r="K45" s="1310"/>
      <c r="L45" s="1310"/>
      <c r="M45" s="1310"/>
      <c r="N45" s="1321"/>
      <c r="O45" s="1833"/>
      <c r="P45" s="1834">
        <f>P43-P44</f>
        <v>-389.32456260148956</v>
      </c>
    </row>
    <row r="46" spans="2:20">
      <c r="B46" s="276"/>
      <c r="C46" s="276"/>
      <c r="D46" s="276"/>
      <c r="E46" s="276"/>
      <c r="F46" s="276"/>
      <c r="G46" s="276"/>
      <c r="H46" s="276"/>
      <c r="I46" s="276"/>
      <c r="J46" s="276"/>
      <c r="K46" s="276"/>
      <c r="L46" s="276"/>
      <c r="M46" s="276"/>
      <c r="N46" s="276"/>
      <c r="O46" s="276"/>
      <c r="P46" s="276"/>
    </row>
    <row r="47" spans="2:20" ht="15.75">
      <c r="B47" s="2283" t="s">
        <v>888</v>
      </c>
      <c r="C47" s="2283"/>
      <c r="D47" s="2283"/>
      <c r="E47" s="2283"/>
      <c r="F47" s="2283"/>
      <c r="G47" s="2283"/>
      <c r="H47" s="2283"/>
      <c r="I47" s="2283"/>
      <c r="J47" s="2283"/>
      <c r="K47" s="2283"/>
      <c r="L47" s="2283"/>
      <c r="M47" s="2283"/>
      <c r="N47" s="2283"/>
      <c r="O47" s="1313"/>
      <c r="P47" s="1313"/>
      <c r="T47" s="1827"/>
    </row>
    <row r="48" spans="2:20" ht="17.25" customHeight="1">
      <c r="B48" s="2283"/>
      <c r="C48" s="2283"/>
      <c r="D48" s="2283"/>
      <c r="E48" s="2283"/>
      <c r="F48" s="2283"/>
      <c r="G48" s="2283"/>
      <c r="H48" s="2283"/>
      <c r="I48" s="2283"/>
      <c r="J48" s="2283"/>
      <c r="K48" s="2283"/>
      <c r="L48" s="2283"/>
      <c r="M48" s="2283"/>
      <c r="N48" s="2283"/>
      <c r="O48" s="276"/>
      <c r="P48" s="276"/>
    </row>
    <row r="50" spans="2:14">
      <c r="B50" s="2279" t="s">
        <v>890</v>
      </c>
      <c r="C50" s="2279"/>
      <c r="D50" s="2279"/>
      <c r="E50" s="2279"/>
      <c r="F50" s="2279"/>
      <c r="G50" s="2279"/>
      <c r="H50" s="2279"/>
      <c r="I50" s="2279"/>
      <c r="J50" s="2279"/>
      <c r="K50" s="2279"/>
      <c r="L50" s="2279"/>
      <c r="M50" s="2279"/>
      <c r="N50" s="2279"/>
    </row>
    <row r="51" spans="2:14" ht="21.75" customHeight="1">
      <c r="B51" s="2279"/>
      <c r="C51" s="2279"/>
      <c r="D51" s="2279"/>
      <c r="E51" s="2279"/>
      <c r="F51" s="2279"/>
      <c r="G51" s="2279"/>
      <c r="H51" s="2279"/>
      <c r="I51" s="2279"/>
      <c r="J51" s="2279"/>
      <c r="K51" s="2279"/>
      <c r="L51" s="2279"/>
      <c r="M51" s="2279"/>
      <c r="N51" s="2279"/>
    </row>
    <row r="53" spans="2:14" ht="15.75">
      <c r="B53" s="127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T70"/>
  <sheetViews>
    <sheetView zoomScaleNormal="100" workbookViewId="0">
      <selection activeCell="P45" sqref="P45"/>
    </sheetView>
  </sheetViews>
  <sheetFormatPr defaultColWidth="9.28515625" defaultRowHeight="12.75"/>
  <cols>
    <col min="1" max="1" width="1.7109375" style="394" customWidth="1"/>
    <col min="2" max="2" width="25.28515625" style="394" customWidth="1"/>
    <col min="3" max="3" width="1.7109375" style="394" customWidth="1"/>
    <col min="4" max="4" width="22.5703125" style="394" customWidth="1"/>
    <col min="5" max="5" width="1.7109375" style="394" customWidth="1"/>
    <col min="6" max="6" width="24.7109375" style="394" customWidth="1"/>
    <col min="7" max="7" width="1.7109375" style="394" customWidth="1"/>
    <col min="8" max="8" width="21.42578125" style="394" customWidth="1"/>
    <col min="9" max="9" width="1.710937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3" style="394" hidden="1" customWidth="1"/>
    <col min="19" max="19" width="9.28515625" style="394"/>
    <col min="20" max="20" width="3" style="394" bestFit="1" customWidth="1"/>
    <col min="21" max="16384" width="9.28515625" style="394"/>
  </cols>
  <sheetData>
    <row r="1" spans="1:18" ht="15">
      <c r="A1" s="1246"/>
    </row>
    <row r="2" spans="1:18" ht="15.75">
      <c r="A2" s="1247"/>
    </row>
    <row r="3" spans="1:18" ht="15.75">
      <c r="A3" s="1247"/>
    </row>
    <row r="4" spans="1:18" ht="15.75">
      <c r="B4" s="2280" t="str">
        <f>+'SWT TCOS'!F4</f>
        <v xml:space="preserve">AEP West SPP Member Transmission Companies </v>
      </c>
      <c r="C4" s="2280"/>
      <c r="D4" s="2280"/>
      <c r="E4" s="2280"/>
      <c r="F4" s="2280"/>
      <c r="G4" s="2280"/>
      <c r="H4" s="2280"/>
      <c r="I4" s="2280"/>
      <c r="J4" s="2280"/>
      <c r="K4" s="2280"/>
      <c r="L4" s="2280"/>
      <c r="M4" s="2280"/>
      <c r="N4" s="2280"/>
      <c r="O4" s="2280"/>
      <c r="P4" s="2280"/>
    </row>
    <row r="5" spans="1:18" ht="15.75">
      <c r="B5" s="2281" t="str">
        <f>+'SWT WS A-1 - Plant'!A3</f>
        <v xml:space="preserve">Actual / Projected 2022 Rate Year Cost of Service Formula Rate </v>
      </c>
      <c r="C5" s="2281"/>
      <c r="D5" s="2281"/>
      <c r="E5" s="2281"/>
      <c r="F5" s="2281"/>
      <c r="G5" s="2281"/>
      <c r="H5" s="2281"/>
      <c r="I5" s="2281"/>
      <c r="J5" s="2281"/>
      <c r="K5" s="2281"/>
      <c r="L5" s="2281"/>
      <c r="M5" s="2281"/>
      <c r="N5" s="2281"/>
      <c r="O5" s="2281"/>
      <c r="P5" s="2281"/>
    </row>
    <row r="6" spans="1:18" ht="15.75">
      <c r="B6" s="2281" t="s">
        <v>892</v>
      </c>
      <c r="C6" s="2281"/>
      <c r="D6" s="2281"/>
      <c r="E6" s="2281"/>
      <c r="F6" s="2281"/>
      <c r="G6" s="2281"/>
      <c r="H6" s="2281"/>
      <c r="I6" s="2281"/>
      <c r="J6" s="2281"/>
      <c r="K6" s="2281"/>
      <c r="L6" s="2281"/>
      <c r="M6" s="2281"/>
      <c r="N6" s="2281"/>
      <c r="O6" s="2281"/>
      <c r="P6" s="2281"/>
    </row>
    <row r="7" spans="1:18" ht="15.75">
      <c r="B7" s="2243" t="str">
        <f>+'SWT TCOS'!F8</f>
        <v>AEP SOUTHWESTERN TRANSMISSION COMPANY</v>
      </c>
      <c r="C7" s="2243"/>
      <c r="D7" s="2243"/>
      <c r="E7" s="2243"/>
      <c r="F7" s="2243"/>
      <c r="G7" s="2243"/>
      <c r="H7" s="2243"/>
      <c r="I7" s="2243"/>
      <c r="J7" s="2243"/>
      <c r="K7" s="2243"/>
      <c r="L7" s="2243"/>
      <c r="M7" s="2243"/>
      <c r="N7" s="2243"/>
      <c r="O7" s="2243"/>
      <c r="P7" s="2243"/>
      <c r="Q7" s="1315"/>
      <c r="R7" s="1315"/>
    </row>
    <row r="8" spans="1:18">
      <c r="B8" s="276"/>
      <c r="C8" s="276"/>
      <c r="D8" s="276"/>
      <c r="E8" s="276"/>
      <c r="F8" s="276"/>
      <c r="G8" s="276"/>
      <c r="H8" s="276"/>
      <c r="I8" s="276"/>
      <c r="J8" s="276"/>
      <c r="K8" s="276"/>
      <c r="L8" s="276"/>
      <c r="M8" s="276"/>
      <c r="N8" s="276"/>
      <c r="O8" s="276"/>
      <c r="P8" s="276"/>
    </row>
    <row r="9" spans="1:18">
      <c r="B9" s="276"/>
      <c r="C9" s="276"/>
      <c r="D9" s="276"/>
      <c r="E9" s="276"/>
      <c r="F9" s="276"/>
      <c r="G9" s="276"/>
      <c r="H9" s="276"/>
      <c r="I9" s="276"/>
      <c r="J9" s="276"/>
      <c r="K9" s="276"/>
      <c r="L9" s="276"/>
      <c r="M9" s="276"/>
      <c r="N9" s="276"/>
      <c r="O9" s="276"/>
      <c r="P9" s="276"/>
    </row>
    <row r="10" spans="1:18" ht="16.5" thickBot="1">
      <c r="B10" s="1248"/>
      <c r="C10" s="1249"/>
      <c r="D10" s="1249"/>
      <c r="E10" s="1249"/>
      <c r="F10" s="1249"/>
      <c r="G10" s="1249"/>
      <c r="H10" s="1249"/>
      <c r="I10" s="1249"/>
      <c r="J10" s="1249"/>
      <c r="K10" s="1249"/>
      <c r="O10" s="1249"/>
      <c r="P10" s="1249"/>
    </row>
    <row r="11" spans="1:18" ht="51.75">
      <c r="B11" s="1250" t="str">
        <f>"True up Revenue Requirement For Year "&amp;J11&amp;" Available May, "&amp;J12</f>
        <v>True up Revenue Requirement For Year 2022 Available May, 2023</v>
      </c>
      <c r="C11" s="1249"/>
      <c r="D11" s="1250" t="s">
        <v>915</v>
      </c>
      <c r="E11" s="1251"/>
      <c r="F11" s="1252" t="s">
        <v>670</v>
      </c>
      <c r="G11" s="404"/>
      <c r="H11" s="1253" t="s">
        <v>671</v>
      </c>
      <c r="I11" s="1249"/>
      <c r="J11" s="1254">
        <f>+'SWT TCOS'!N2</f>
        <v>2022</v>
      </c>
      <c r="K11" s="1249"/>
      <c r="O11" s="404"/>
      <c r="P11" s="404"/>
    </row>
    <row r="12" spans="1:18" ht="15.75">
      <c r="B12" s="1255" t="s">
        <v>251</v>
      </c>
      <c r="C12" s="1249"/>
      <c r="D12" s="1255"/>
      <c r="E12" s="1251"/>
      <c r="F12" s="1256"/>
      <c r="G12" s="404"/>
      <c r="H12" s="1257" t="s">
        <v>672</v>
      </c>
      <c r="I12" s="1258"/>
      <c r="J12" s="1259">
        <f>J11+1</f>
        <v>2023</v>
      </c>
      <c r="O12" s="404"/>
      <c r="P12" s="404"/>
    </row>
    <row r="13" spans="1:18" ht="16.5" thickBot="1">
      <c r="B13" s="1260">
        <f>+'Sch 1 Rates'!L18</f>
        <v>48.269999999999996</v>
      </c>
      <c r="C13" s="1261" t="s">
        <v>673</v>
      </c>
      <c r="D13" s="1260">
        <v>58.844086021505369</v>
      </c>
      <c r="E13" s="1262" t="s">
        <v>674</v>
      </c>
      <c r="F13" s="1263">
        <f>IF(B13=0,0,D13-B13)</f>
        <v>10.574086021505373</v>
      </c>
      <c r="G13" s="1264"/>
      <c r="H13" s="1265" t="s">
        <v>675</v>
      </c>
      <c r="I13" s="1266"/>
      <c r="J13" s="1267">
        <f>J12+1</f>
        <v>2024</v>
      </c>
      <c r="O13" s="404"/>
      <c r="P13" s="404"/>
    </row>
    <row r="14" spans="1:18" ht="15.75">
      <c r="B14" s="1266"/>
      <c r="C14" s="1268"/>
      <c r="D14" s="1266"/>
      <c r="E14" s="1266"/>
      <c r="F14" s="1266"/>
      <c r="G14" s="1266"/>
      <c r="H14" s="404"/>
      <c r="I14" s="404"/>
      <c r="O14" s="404"/>
      <c r="P14" s="404"/>
    </row>
    <row r="15" spans="1:18" ht="16.5" thickBot="1">
      <c r="B15" s="1269"/>
      <c r="C15" s="1270"/>
      <c r="D15" s="1269"/>
      <c r="E15" s="1269"/>
      <c r="F15" s="1269"/>
      <c r="G15" s="1269"/>
      <c r="H15" s="1269"/>
      <c r="I15" s="1269"/>
      <c r="J15" s="1269"/>
      <c r="K15" s="1269"/>
      <c r="L15" s="1269"/>
      <c r="M15" s="1269"/>
      <c r="N15" s="1272"/>
      <c r="O15" s="1272"/>
      <c r="P15" s="1272"/>
    </row>
    <row r="16" spans="1:18" ht="15.75">
      <c r="B16" s="1273"/>
      <c r="C16" s="1268"/>
      <c r="D16" s="1266"/>
      <c r="E16" s="1266"/>
      <c r="F16" s="1266"/>
      <c r="G16" s="1266"/>
      <c r="H16" s="1266"/>
      <c r="I16" s="1266"/>
      <c r="J16" s="1266"/>
      <c r="K16" s="1266"/>
      <c r="L16" s="1266"/>
      <c r="M16" s="1266"/>
      <c r="N16" s="404"/>
      <c r="O16" s="404"/>
      <c r="P16" s="404"/>
    </row>
    <row r="17" spans="2:18" ht="63">
      <c r="B17" s="1274" t="s">
        <v>676</v>
      </c>
      <c r="C17" s="1268"/>
      <c r="D17" s="1275" t="s">
        <v>677</v>
      </c>
      <c r="E17" s="1275"/>
      <c r="F17" s="1275" t="s">
        <v>678</v>
      </c>
      <c r="G17" s="1275"/>
      <c r="H17" s="1275" t="s">
        <v>679</v>
      </c>
      <c r="I17" s="1266"/>
      <c r="J17" s="1276" t="s">
        <v>680</v>
      </c>
      <c r="K17" s="1266"/>
      <c r="L17" s="1275" t="s">
        <v>896</v>
      </c>
      <c r="M17" s="1277"/>
      <c r="N17" s="1276" t="s">
        <v>681</v>
      </c>
      <c r="O17" s="1278"/>
      <c r="P17" s="1275" t="s">
        <v>683</v>
      </c>
    </row>
    <row r="18" spans="2:18" ht="15.75">
      <c r="B18" s="1279"/>
      <c r="C18" s="1268"/>
      <c r="D18" s="404"/>
      <c r="E18" s="404"/>
      <c r="F18" s="404"/>
      <c r="G18" s="404"/>
      <c r="H18" s="404"/>
      <c r="I18" s="1820"/>
      <c r="J18" s="1820"/>
      <c r="K18" s="1820"/>
      <c r="N18" s="404"/>
      <c r="O18" s="404"/>
      <c r="P18" s="404"/>
    </row>
    <row r="19" spans="2:18" ht="15.75">
      <c r="B19" s="1316" t="s">
        <v>684</v>
      </c>
      <c r="C19" s="1268"/>
      <c r="D19" s="1268"/>
      <c r="E19" s="1268"/>
      <c r="F19" s="1268"/>
      <c r="G19" s="1268"/>
      <c r="H19" s="1268"/>
      <c r="I19" s="1268"/>
      <c r="J19" s="1268"/>
      <c r="K19" s="1268"/>
      <c r="L19" s="404"/>
      <c r="M19" s="404"/>
      <c r="N19" s="1277"/>
      <c r="O19" s="1268"/>
      <c r="P19" s="1268"/>
    </row>
    <row r="20" spans="2:18" ht="15.75">
      <c r="B20" s="1282" t="s">
        <v>124</v>
      </c>
      <c r="C20" s="1268"/>
      <c r="D20" s="1268"/>
      <c r="E20" s="1268"/>
      <c r="F20" s="1268"/>
      <c r="G20" s="1268"/>
      <c r="H20" s="1268"/>
      <c r="I20" s="1268"/>
      <c r="J20" s="1268"/>
      <c r="K20" s="1268"/>
      <c r="L20" s="404"/>
      <c r="M20" s="404"/>
      <c r="N20" s="1277"/>
      <c r="O20" s="1268"/>
      <c r="P20" s="1268"/>
    </row>
    <row r="21" spans="2:18" ht="15.75">
      <c r="B21" s="1283">
        <f t="shared" ref="B21:B32" si="0">DATE($J$11,R21,1)</f>
        <v>44562</v>
      </c>
      <c r="C21" s="1249"/>
      <c r="D21" s="1821">
        <f>F13/12</f>
        <v>0.88117383512544778</v>
      </c>
      <c r="E21" s="1822"/>
      <c r="F21" s="1821">
        <v>0</v>
      </c>
      <c r="G21" s="1821"/>
      <c r="H21" s="1821">
        <v>0</v>
      </c>
      <c r="I21" s="1821"/>
      <c r="J21" s="1821">
        <f>F21+H21</f>
        <v>0</v>
      </c>
      <c r="K21" s="1822"/>
      <c r="L21" s="1286">
        <f>+'SWT WS Q Interest Rate'!E13</f>
        <v>2.8E-3</v>
      </c>
      <c r="M21" s="1287"/>
      <c r="N21" s="1821">
        <f t="shared" ref="N21:N32" si="1">J21*L21</f>
        <v>0</v>
      </c>
      <c r="O21" s="1821"/>
      <c r="P21" s="1821">
        <f>D21+N21</f>
        <v>0.88117383512544778</v>
      </c>
      <c r="R21" s="394">
        <v>1</v>
      </c>
    </row>
    <row r="22" spans="2:18" ht="15.75">
      <c r="B22" s="1283">
        <f t="shared" si="0"/>
        <v>44593</v>
      </c>
      <c r="C22" s="1249"/>
      <c r="D22" s="1821">
        <f>+D21</f>
        <v>0.88117383512544778</v>
      </c>
      <c r="E22" s="1822"/>
      <c r="F22" s="1821">
        <f>D21</f>
        <v>0.88117383512544778</v>
      </c>
      <c r="G22" s="1821"/>
      <c r="H22" s="1821">
        <v>0</v>
      </c>
      <c r="I22" s="1821"/>
      <c r="J22" s="1821">
        <f t="shared" ref="J22:J31" si="2">F22+H22</f>
        <v>0.88117383512544778</v>
      </c>
      <c r="K22" s="1822"/>
      <c r="L22" s="1286">
        <f>+'SWT WS Q Interest Rate'!E14</f>
        <v>2.5000000000000001E-3</v>
      </c>
      <c r="M22" s="1287"/>
      <c r="N22" s="1821">
        <f t="shared" si="1"/>
        <v>2.2029345878136195E-3</v>
      </c>
      <c r="O22" s="1821"/>
      <c r="P22" s="1821">
        <f>SUM($D$21:D22)+SUM($N$21:N22)</f>
        <v>1.7645506048387092</v>
      </c>
      <c r="R22" s="394">
        <v>2</v>
      </c>
    </row>
    <row r="23" spans="2:18" ht="15.75">
      <c r="B23" s="1283">
        <f t="shared" si="0"/>
        <v>44621</v>
      </c>
      <c r="C23" s="1249"/>
      <c r="D23" s="1821">
        <f>+D22</f>
        <v>0.88117383512544778</v>
      </c>
      <c r="E23" s="1822"/>
      <c r="F23" s="1821">
        <f>D22+F22</f>
        <v>1.7623476702508956</v>
      </c>
      <c r="G23" s="1821"/>
      <c r="H23" s="1821">
        <v>0</v>
      </c>
      <c r="I23" s="1821"/>
      <c r="J23" s="1821">
        <f t="shared" si="2"/>
        <v>1.7623476702508956</v>
      </c>
      <c r="K23" s="1822"/>
      <c r="L23" s="1286">
        <f>+'SWT WS Q Interest Rate'!E15</f>
        <v>2.8E-3</v>
      </c>
      <c r="M23" s="1287"/>
      <c r="N23" s="1821">
        <f t="shared" si="1"/>
        <v>4.9345734767025076E-3</v>
      </c>
      <c r="O23" s="1821"/>
      <c r="P23" s="1821">
        <f>SUM($D$21:D23)+SUM($N$21:N23)</f>
        <v>2.6506590134408592</v>
      </c>
      <c r="R23" s="394">
        <v>3</v>
      </c>
    </row>
    <row r="24" spans="2:18" ht="15.75">
      <c r="B24" s="1283">
        <f t="shared" si="0"/>
        <v>44652</v>
      </c>
      <c r="C24" s="1249"/>
      <c r="D24" s="1821">
        <f>+D23</f>
        <v>0.88117383512544778</v>
      </c>
      <c r="E24" s="1822"/>
      <c r="F24" s="1821">
        <f t="shared" ref="F24:F30" si="3">D23+F23</f>
        <v>2.6435215053763432</v>
      </c>
      <c r="G24" s="1821"/>
      <c r="H24" s="1821">
        <f>SUM($N$21:$N$23)</f>
        <v>7.1375080645161276E-3</v>
      </c>
      <c r="I24" s="1821"/>
      <c r="J24" s="1821">
        <f t="shared" si="2"/>
        <v>2.6506590134408592</v>
      </c>
      <c r="K24" s="1822"/>
      <c r="L24" s="1286">
        <f>+'SWT WS Q Interest Rate'!E16</f>
        <v>2.7000000000000001E-3</v>
      </c>
      <c r="M24" s="1287"/>
      <c r="N24" s="1821">
        <f t="shared" si="1"/>
        <v>7.1567793362903205E-3</v>
      </c>
      <c r="O24" s="1821"/>
      <c r="P24" s="1821">
        <f>SUM($D$21:D24)+SUM($N$21:N24)</f>
        <v>3.5389896279025974</v>
      </c>
      <c r="R24" s="394">
        <v>4</v>
      </c>
    </row>
    <row r="25" spans="2:18" ht="15.75">
      <c r="B25" s="1283">
        <f t="shared" si="0"/>
        <v>44682</v>
      </c>
      <c r="C25" s="1249"/>
      <c r="D25" s="1821">
        <f t="shared" ref="D25:D30" si="4">+D24</f>
        <v>0.88117383512544778</v>
      </c>
      <c r="E25" s="1822"/>
      <c r="F25" s="1821">
        <f t="shared" si="3"/>
        <v>3.5246953405017911</v>
      </c>
      <c r="G25" s="1821"/>
      <c r="H25" s="1821">
        <f t="shared" ref="H25:H26" si="5">SUM($N$21:$N$23)</f>
        <v>7.1375080645161276E-3</v>
      </c>
      <c r="I25" s="1821"/>
      <c r="J25" s="1821">
        <f t="shared" si="2"/>
        <v>3.5318328485663071</v>
      </c>
      <c r="K25" s="1822"/>
      <c r="L25" s="1286">
        <f>+'SWT WS Q Interest Rate'!E17</f>
        <v>2.8E-3</v>
      </c>
      <c r="M25" s="1287"/>
      <c r="N25" s="1821">
        <f t="shared" si="1"/>
        <v>9.8891319759856593E-3</v>
      </c>
      <c r="O25" s="1821"/>
      <c r="P25" s="1821">
        <f>SUM($D$21:D25)+SUM($N$21:N25)</f>
        <v>4.4300525950040308</v>
      </c>
      <c r="R25" s="394">
        <v>5</v>
      </c>
    </row>
    <row r="26" spans="2:18" ht="15.75">
      <c r="B26" s="1283">
        <f t="shared" si="0"/>
        <v>44713</v>
      </c>
      <c r="C26" s="1249"/>
      <c r="D26" s="1821">
        <f t="shared" si="4"/>
        <v>0.88117383512544778</v>
      </c>
      <c r="E26" s="1822"/>
      <c r="F26" s="1821">
        <f t="shared" si="3"/>
        <v>4.405869175627239</v>
      </c>
      <c r="G26" s="1821"/>
      <c r="H26" s="1821">
        <f t="shared" si="5"/>
        <v>7.1375080645161276E-3</v>
      </c>
      <c r="I26" s="1821"/>
      <c r="J26" s="1821">
        <f t="shared" si="2"/>
        <v>4.413006683691755</v>
      </c>
      <c r="K26" s="1822"/>
      <c r="L26" s="1286">
        <f>+'SWT WS Q Interest Rate'!E18</f>
        <v>2.7000000000000001E-3</v>
      </c>
      <c r="M26" s="1287"/>
      <c r="N26" s="1821">
        <f t="shared" si="1"/>
        <v>1.1915118045967739E-2</v>
      </c>
      <c r="O26" s="1821"/>
      <c r="P26" s="1821">
        <f>SUM($D$21:D26)+SUM($N$21:N26)</f>
        <v>5.323141548175446</v>
      </c>
      <c r="R26" s="394">
        <v>6</v>
      </c>
    </row>
    <row r="27" spans="2:18" ht="15.75">
      <c r="B27" s="1283">
        <f t="shared" si="0"/>
        <v>44743</v>
      </c>
      <c r="C27" s="1249"/>
      <c r="D27" s="1821">
        <f t="shared" si="4"/>
        <v>0.88117383512544778</v>
      </c>
      <c r="E27" s="1822"/>
      <c r="F27" s="1821">
        <f t="shared" si="3"/>
        <v>5.2870430107526865</v>
      </c>
      <c r="G27" s="1821"/>
      <c r="H27" s="1821">
        <f>$H$26+SUM($N$24:$N$26)</f>
        <v>3.6098537422759848E-2</v>
      </c>
      <c r="I27" s="1821"/>
      <c r="J27" s="1821">
        <f t="shared" si="2"/>
        <v>5.323141548175446</v>
      </c>
      <c r="K27" s="1822"/>
      <c r="L27" s="1286">
        <f>+'SWT WS Q Interest Rate'!E19</f>
        <v>3.0999999999999999E-3</v>
      </c>
      <c r="M27" s="1287"/>
      <c r="N27" s="1821">
        <f t="shared" si="1"/>
        <v>1.6501738799343881E-2</v>
      </c>
      <c r="O27" s="1821"/>
      <c r="P27" s="1821">
        <f>SUM($D$21:D27)+SUM($N$21:N27)</f>
        <v>6.2208171221002377</v>
      </c>
      <c r="R27" s="394">
        <v>7</v>
      </c>
    </row>
    <row r="28" spans="2:18" ht="15.75">
      <c r="B28" s="1283">
        <f t="shared" si="0"/>
        <v>44774</v>
      </c>
      <c r="C28" s="1249"/>
      <c r="D28" s="1821">
        <f t="shared" si="4"/>
        <v>0.88117383512544778</v>
      </c>
      <c r="E28" s="1822"/>
      <c r="F28" s="1821">
        <f t="shared" si="3"/>
        <v>6.1682168458781339</v>
      </c>
      <c r="G28" s="1821"/>
      <c r="H28" s="1821">
        <f>$H$26+SUM($N$24:$N$26)</f>
        <v>3.6098537422759848E-2</v>
      </c>
      <c r="I28" s="1821"/>
      <c r="J28" s="1821">
        <f t="shared" si="2"/>
        <v>6.2043153833008935</v>
      </c>
      <c r="K28" s="1822"/>
      <c r="L28" s="1286">
        <f>+'SWT WS Q Interest Rate'!E20</f>
        <v>3.0999999999999999E-3</v>
      </c>
      <c r="M28" s="1287"/>
      <c r="N28" s="1821">
        <f t="shared" si="1"/>
        <v>1.9233377688232769E-2</v>
      </c>
      <c r="O28" s="1821"/>
      <c r="P28" s="1821">
        <f>SUM($D$21:D28)+SUM($N$21:N28)</f>
        <v>7.1212243349139177</v>
      </c>
      <c r="R28" s="394">
        <v>8</v>
      </c>
    </row>
    <row r="29" spans="2:18" ht="15.75">
      <c r="B29" s="1283">
        <f t="shared" si="0"/>
        <v>44805</v>
      </c>
      <c r="C29" s="1249"/>
      <c r="D29" s="1821">
        <f t="shared" si="4"/>
        <v>0.88117383512544778</v>
      </c>
      <c r="E29" s="1822"/>
      <c r="F29" s="1821">
        <f t="shared" si="3"/>
        <v>7.0493906810035813</v>
      </c>
      <c r="G29" s="1821"/>
      <c r="H29" s="1821">
        <f>$H$26+SUM($N$24:$N$26)</f>
        <v>3.6098537422759848E-2</v>
      </c>
      <c r="I29" s="1821"/>
      <c r="J29" s="1821">
        <f t="shared" si="2"/>
        <v>7.0854892184263409</v>
      </c>
      <c r="K29" s="1822"/>
      <c r="L29" s="1286">
        <f>+'SWT WS Q Interest Rate'!E21</f>
        <v>3.0000000000000001E-3</v>
      </c>
      <c r="M29" s="1287"/>
      <c r="N29" s="1821">
        <f t="shared" si="1"/>
        <v>2.1256467655279023E-2</v>
      </c>
      <c r="O29" s="1821"/>
      <c r="P29" s="1821">
        <f>SUM($D$21:D29)+SUM($N$21:N29)</f>
        <v>8.0236546376946443</v>
      </c>
      <c r="R29" s="394">
        <v>9</v>
      </c>
    </row>
    <row r="30" spans="2:18" ht="15.75">
      <c r="B30" s="1283">
        <f t="shared" si="0"/>
        <v>44835</v>
      </c>
      <c r="C30" s="1249"/>
      <c r="D30" s="1821">
        <f t="shared" si="4"/>
        <v>0.88117383512544778</v>
      </c>
      <c r="E30" s="1822"/>
      <c r="F30" s="1821">
        <f t="shared" si="3"/>
        <v>7.9305645161290288</v>
      </c>
      <c r="G30" s="1821"/>
      <c r="H30" s="1821">
        <f>$H$29+SUM($N$27:$N$29)</f>
        <v>9.3090121565615525E-2</v>
      </c>
      <c r="I30" s="1821"/>
      <c r="J30" s="1821">
        <f t="shared" si="2"/>
        <v>8.0236546376946443</v>
      </c>
      <c r="K30" s="1822"/>
      <c r="L30" s="1286">
        <f>+'SWT WS Q Interest Rate'!E22</f>
        <v>4.1999999999999997E-3</v>
      </c>
      <c r="M30" s="1287"/>
      <c r="N30" s="1821">
        <f t="shared" si="1"/>
        <v>3.3699349478317507E-2</v>
      </c>
      <c r="O30" s="1821"/>
      <c r="P30" s="1821">
        <f>SUM($D$21:D30)+SUM($N$21:N30)</f>
        <v>8.9385278222984095</v>
      </c>
      <c r="R30" s="394">
        <v>10</v>
      </c>
    </row>
    <row r="31" spans="2:18" ht="15.75">
      <c r="B31" s="1283">
        <f t="shared" si="0"/>
        <v>44866</v>
      </c>
      <c r="C31" s="1249"/>
      <c r="D31" s="1821">
        <f>+D30</f>
        <v>0.88117383512544778</v>
      </c>
      <c r="E31" s="1822"/>
      <c r="F31" s="1821">
        <f>D30+F30</f>
        <v>8.8117383512544762</v>
      </c>
      <c r="G31" s="1821"/>
      <c r="H31" s="1821">
        <f>$H$29+SUM($N$27:$N$29)</f>
        <v>9.3090121565615525E-2</v>
      </c>
      <c r="I31" s="1821"/>
      <c r="J31" s="1821">
        <f t="shared" si="2"/>
        <v>8.9048284728200926</v>
      </c>
      <c r="K31" s="1822"/>
      <c r="L31" s="1286">
        <f>+'SWT WS Q Interest Rate'!E23</f>
        <v>4.0000000000000001E-3</v>
      </c>
      <c r="M31" s="1287"/>
      <c r="N31" s="1821">
        <f t="shared" si="1"/>
        <v>3.5619313891280369E-2</v>
      </c>
      <c r="O31" s="1821"/>
      <c r="P31" s="1821">
        <f>SUM($D$21:D31)+SUM($N$21:N31)</f>
        <v>9.8553209713151375</v>
      </c>
      <c r="R31" s="394">
        <v>11</v>
      </c>
    </row>
    <row r="32" spans="2:18" ht="15.75">
      <c r="B32" s="1283">
        <f t="shared" si="0"/>
        <v>44896</v>
      </c>
      <c r="C32" s="1249"/>
      <c r="D32" s="1821">
        <f>+D31</f>
        <v>0.88117383512544778</v>
      </c>
      <c r="E32" s="1822"/>
      <c r="F32" s="1821">
        <f>D31+F31</f>
        <v>9.6929121863799246</v>
      </c>
      <c r="G32" s="1821"/>
      <c r="H32" s="1821">
        <f>$H$29+SUM($N$27:$N$29)</f>
        <v>9.3090121565615525E-2</v>
      </c>
      <c r="I32" s="1821"/>
      <c r="J32" s="1821">
        <f>F32+H32</f>
        <v>9.7860023079455409</v>
      </c>
      <c r="K32" s="1822"/>
      <c r="L32" s="1286">
        <f>+'SWT WS Q Interest Rate'!E24</f>
        <v>4.1999999999999997E-3</v>
      </c>
      <c r="M32" s="1287"/>
      <c r="N32" s="1821">
        <f t="shared" si="1"/>
        <v>4.110120969337127E-2</v>
      </c>
      <c r="O32" s="1821"/>
      <c r="P32" s="1821">
        <f>SUM($D$21:D32)+SUM($N$21:N32)</f>
        <v>10.777596016133957</v>
      </c>
      <c r="R32" s="394">
        <v>12</v>
      </c>
    </row>
    <row r="33" spans="2:20" ht="15.75">
      <c r="B33" s="1249"/>
      <c r="C33" s="1249"/>
      <c r="D33" s="1821"/>
      <c r="E33" s="1822"/>
      <c r="F33" s="1821"/>
      <c r="G33" s="1821"/>
      <c r="H33" s="1821"/>
      <c r="I33" s="1821"/>
      <c r="J33" s="1821"/>
      <c r="K33" s="1822"/>
      <c r="L33" s="1268"/>
      <c r="M33" s="1249"/>
      <c r="N33" s="1823"/>
      <c r="O33" s="1821"/>
      <c r="P33" s="1824"/>
    </row>
    <row r="34" spans="2:20" ht="15.75">
      <c r="B34" s="1282" t="s">
        <v>685</v>
      </c>
      <c r="C34" s="1249"/>
      <c r="D34" s="1821"/>
      <c r="E34" s="1822"/>
      <c r="F34" s="1821"/>
      <c r="G34" s="1821"/>
      <c r="H34" s="1821"/>
      <c r="I34" s="1821"/>
      <c r="J34" s="1821"/>
      <c r="K34" s="1822"/>
      <c r="L34" s="1268"/>
      <c r="M34" s="1249"/>
      <c r="N34" s="1821"/>
      <c r="O34" s="1821"/>
      <c r="P34" s="1825"/>
    </row>
    <row r="35" spans="2:20" ht="15.75">
      <c r="B35" s="1283">
        <f t="shared" ref="B35:B40" si="6">DATE($J$12,R35,1)</f>
        <v>44927</v>
      </c>
      <c r="C35" s="1249"/>
      <c r="D35" s="1821">
        <v>0</v>
      </c>
      <c r="E35" s="1822"/>
      <c r="F35" s="1821">
        <f>D32+F32</f>
        <v>10.574086021505373</v>
      </c>
      <c r="G35" s="1821"/>
      <c r="H35" s="1821">
        <f>$H$32+SUM($N$30:$N$32)</f>
        <v>0.20350999462858468</v>
      </c>
      <c r="I35" s="1821"/>
      <c r="J35" s="1821">
        <f>F35+H35</f>
        <v>10.777596016133957</v>
      </c>
      <c r="K35" s="1822"/>
      <c r="L35" s="1286">
        <f>+'SWT WS Q Interest Rate'!E25</f>
        <v>5.4000000000000003E-3</v>
      </c>
      <c r="M35" s="1287"/>
      <c r="N35" s="1821">
        <f t="shared" ref="N35:N40" si="7">J35*L35</f>
        <v>5.8199018487123375E-2</v>
      </c>
      <c r="O35" s="1821"/>
      <c r="P35" s="1821">
        <f>SUM($D$21:D35)+SUM($N$21:N35)</f>
        <v>10.83579503462108</v>
      </c>
      <c r="R35" s="394">
        <v>1</v>
      </c>
    </row>
    <row r="36" spans="2:20" ht="15.75">
      <c r="B36" s="1283">
        <f t="shared" si="6"/>
        <v>44958</v>
      </c>
      <c r="C36" s="1249"/>
      <c r="D36" s="1821">
        <v>0</v>
      </c>
      <c r="E36" s="1822"/>
      <c r="F36" s="1821">
        <f>D35+F35</f>
        <v>10.574086021505373</v>
      </c>
      <c r="G36" s="1821"/>
      <c r="H36" s="1821">
        <f>$H$32+SUM($N$30:$N$32)</f>
        <v>0.20350999462858468</v>
      </c>
      <c r="I36" s="1821"/>
      <c r="J36" s="1821">
        <f>F36+H36</f>
        <v>10.777596016133957</v>
      </c>
      <c r="K36" s="1822"/>
      <c r="L36" s="1286">
        <f>+'SWT WS Q Interest Rate'!E26</f>
        <v>4.7999999999999996E-3</v>
      </c>
      <c r="M36" s="1287"/>
      <c r="N36" s="1821">
        <f t="shared" si="7"/>
        <v>5.1732460877442987E-2</v>
      </c>
      <c r="O36" s="1821"/>
      <c r="P36" s="1821">
        <f>SUM($D$21:D36)+SUM($N$21:N36)</f>
        <v>10.887527495498524</v>
      </c>
      <c r="R36" s="394">
        <v>2</v>
      </c>
    </row>
    <row r="37" spans="2:20" ht="15.75">
      <c r="B37" s="1283">
        <f t="shared" si="6"/>
        <v>44986</v>
      </c>
      <c r="C37" s="1249"/>
      <c r="D37" s="1821">
        <v>0</v>
      </c>
      <c r="E37" s="1822"/>
      <c r="F37" s="1821">
        <f t="shared" ref="F37:F40" si="8">D36+F36</f>
        <v>10.574086021505373</v>
      </c>
      <c r="G37" s="1821"/>
      <c r="H37" s="1821">
        <f>$H$32+SUM($N$30:$N$32)</f>
        <v>0.20350999462858468</v>
      </c>
      <c r="I37" s="1821"/>
      <c r="J37" s="1821">
        <f t="shared" ref="J37:J40" si="9">F37+H37</f>
        <v>10.777596016133957</v>
      </c>
      <c r="K37" s="1822"/>
      <c r="L37" s="1286">
        <f>+'SWT WS Q Interest Rate'!E27</f>
        <v>5.4000000000000003E-3</v>
      </c>
      <c r="M37" s="1287"/>
      <c r="N37" s="1821">
        <f t="shared" si="7"/>
        <v>5.8199018487123375E-2</v>
      </c>
      <c r="O37" s="1821"/>
      <c r="P37" s="1821">
        <f>SUM($D$21:D37)+SUM($N$21:N37)</f>
        <v>10.945726513985647</v>
      </c>
      <c r="R37" s="394">
        <v>3</v>
      </c>
    </row>
    <row r="38" spans="2:20" ht="15.75">
      <c r="B38" s="1283">
        <f t="shared" si="6"/>
        <v>45017</v>
      </c>
      <c r="C38" s="1249"/>
      <c r="D38" s="1821">
        <v>0</v>
      </c>
      <c r="E38" s="1822"/>
      <c r="F38" s="1821">
        <f t="shared" si="8"/>
        <v>10.574086021505373</v>
      </c>
      <c r="G38" s="1821"/>
      <c r="H38" s="1821">
        <f>$H$37+SUM($N$35:$N$37)</f>
        <v>0.37164049248027442</v>
      </c>
      <c r="I38" s="1821"/>
      <c r="J38" s="1821">
        <f>F38+H38</f>
        <v>10.945726513985647</v>
      </c>
      <c r="K38" s="1822"/>
      <c r="L38" s="1286">
        <f>+'SWT WS Q Interest Rate'!E28</f>
        <v>6.1999999999999998E-3</v>
      </c>
      <c r="M38" s="1287"/>
      <c r="N38" s="1821">
        <f t="shared" si="7"/>
        <v>6.7863504386711015E-2</v>
      </c>
      <c r="O38" s="1821"/>
      <c r="P38" s="1821">
        <f>SUM($D$21:D38)+SUM($N$21:N38)</f>
        <v>11.013590018372359</v>
      </c>
      <c r="R38" s="394">
        <v>4</v>
      </c>
    </row>
    <row r="39" spans="2:20" ht="15.75">
      <c r="B39" s="1283">
        <f t="shared" si="6"/>
        <v>45047</v>
      </c>
      <c r="C39" s="1249"/>
      <c r="D39" s="1821">
        <v>0</v>
      </c>
      <c r="E39" s="1822"/>
      <c r="F39" s="1821">
        <f t="shared" si="8"/>
        <v>10.574086021505373</v>
      </c>
      <c r="G39" s="1821"/>
      <c r="H39" s="1821">
        <f>$H$37+SUM($N$35:$N$37)</f>
        <v>0.37164049248027442</v>
      </c>
      <c r="I39" s="1821"/>
      <c r="J39" s="1821">
        <f t="shared" si="9"/>
        <v>10.945726513985647</v>
      </c>
      <c r="K39" s="1822"/>
      <c r="L39" s="1286">
        <f>+'SWT WS Q Interest Rate'!E29</f>
        <v>6.4000000000000003E-3</v>
      </c>
      <c r="M39" s="1287"/>
      <c r="N39" s="1821">
        <f t="shared" si="7"/>
        <v>7.0052649689508154E-2</v>
      </c>
      <c r="O39" s="1821"/>
      <c r="P39" s="1821">
        <f>SUM($D$21:D39)+SUM($N$21:N39)</f>
        <v>11.083642668061866</v>
      </c>
      <c r="R39" s="394">
        <v>5</v>
      </c>
    </row>
    <row r="40" spans="2:20" ht="16.5" thickBot="1">
      <c r="B40" s="1298">
        <f t="shared" si="6"/>
        <v>45078</v>
      </c>
      <c r="C40" s="1299"/>
      <c r="D40" s="1829">
        <v>0</v>
      </c>
      <c r="E40" s="1836"/>
      <c r="F40" s="1829">
        <f t="shared" si="8"/>
        <v>10.574086021505373</v>
      </c>
      <c r="G40" s="1829"/>
      <c r="H40" s="1829">
        <f>$H$37+SUM($N$35:$N$37)</f>
        <v>0.37164049248027442</v>
      </c>
      <c r="I40" s="1829"/>
      <c r="J40" s="1829">
        <f t="shared" si="9"/>
        <v>10.945726513985647</v>
      </c>
      <c r="K40" s="1836"/>
      <c r="L40" s="1301">
        <f>+'SWT WS Q Interest Rate'!E30</f>
        <v>6.1999999999999998E-3</v>
      </c>
      <c r="M40" s="1318"/>
      <c r="N40" s="1829">
        <f t="shared" si="7"/>
        <v>6.7863504386711015E-2</v>
      </c>
      <c r="O40" s="1829"/>
      <c r="P40" s="1829">
        <f>SUM($D$21:D40)+SUM($N$21:N40)</f>
        <v>11.151506172448578</v>
      </c>
      <c r="R40" s="394">
        <v>6</v>
      </c>
    </row>
    <row r="41" spans="2:20" ht="15.75">
      <c r="B41" s="1249"/>
      <c r="C41" s="1249"/>
      <c r="D41" s="1266"/>
      <c r="E41" s="1266"/>
      <c r="F41" s="1266"/>
      <c r="G41" s="1266"/>
      <c r="H41" s="1266"/>
      <c r="I41" s="1266"/>
      <c r="J41" s="1266"/>
      <c r="K41" s="1266"/>
      <c r="L41" s="1249"/>
      <c r="M41" s="1249"/>
      <c r="N41" s="1821"/>
      <c r="O41" s="1821"/>
      <c r="P41" s="1821"/>
    </row>
    <row r="42" spans="2:20" ht="15">
      <c r="B42" s="404"/>
      <c r="C42" s="404"/>
      <c r="D42" s="404"/>
      <c r="E42" s="404"/>
      <c r="F42" s="404"/>
      <c r="G42" s="404"/>
      <c r="H42" s="404"/>
      <c r="I42" s="404"/>
      <c r="J42" s="404"/>
      <c r="K42" s="404"/>
      <c r="L42" s="404"/>
      <c r="M42" s="404"/>
      <c r="N42" s="1825"/>
      <c r="O42" s="1825"/>
      <c r="P42" s="1825"/>
    </row>
    <row r="43" spans="2:20" ht="15.75">
      <c r="B43" s="1302" t="s">
        <v>687</v>
      </c>
      <c r="C43" s="1303"/>
      <c r="D43" s="1303"/>
      <c r="E43" s="1303"/>
      <c r="F43" s="1303"/>
      <c r="G43" s="1303"/>
      <c r="H43" s="1303"/>
      <c r="I43" s="1303"/>
      <c r="J43" s="1303"/>
      <c r="K43" s="1303"/>
      <c r="L43" s="1303"/>
      <c r="M43" s="1303"/>
      <c r="N43" s="1319"/>
      <c r="O43" s="1830"/>
      <c r="P43" s="1831">
        <f>P40</f>
        <v>11.151506172448578</v>
      </c>
    </row>
    <row r="44" spans="2:20" ht="15.75">
      <c r="B44" s="1306" t="s">
        <v>688</v>
      </c>
      <c r="C44" s="1307"/>
      <c r="D44" s="1307"/>
      <c r="E44" s="1307"/>
      <c r="F44" s="1307"/>
      <c r="G44" s="1307"/>
      <c r="H44" s="1307"/>
      <c r="I44" s="1307"/>
      <c r="J44" s="1307"/>
      <c r="K44" s="1307"/>
      <c r="L44" s="1307"/>
      <c r="M44" s="1307"/>
      <c r="N44" s="1320"/>
      <c r="O44" s="1832"/>
      <c r="P44" s="1823">
        <f>+F13</f>
        <v>10.574086021505373</v>
      </c>
    </row>
    <row r="45" spans="2:20" ht="15.75">
      <c r="B45" s="1309" t="s">
        <v>689</v>
      </c>
      <c r="C45" s="1310"/>
      <c r="D45" s="1310"/>
      <c r="E45" s="1310"/>
      <c r="F45" s="1310"/>
      <c r="G45" s="1310"/>
      <c r="H45" s="1310"/>
      <c r="I45" s="1310"/>
      <c r="J45" s="1310"/>
      <c r="K45" s="1310"/>
      <c r="L45" s="1310"/>
      <c r="M45" s="1310"/>
      <c r="N45" s="1321"/>
      <c r="O45" s="1833"/>
      <c r="P45" s="1834">
        <f>P43-P44</f>
        <v>0.57742015094320465</v>
      </c>
    </row>
    <row r="46" spans="2:20">
      <c r="B46" s="276"/>
      <c r="C46" s="276"/>
      <c r="D46" s="276"/>
      <c r="E46" s="276"/>
      <c r="F46" s="276"/>
      <c r="G46" s="276"/>
      <c r="H46" s="276"/>
      <c r="I46" s="276"/>
      <c r="J46" s="276"/>
      <c r="K46" s="276"/>
      <c r="L46" s="276"/>
      <c r="M46" s="276"/>
      <c r="N46" s="276"/>
      <c r="O46" s="276"/>
      <c r="P46" s="276"/>
    </row>
    <row r="47" spans="2:20" ht="15.75">
      <c r="B47" s="2283" t="s">
        <v>888</v>
      </c>
      <c r="C47" s="2283"/>
      <c r="D47" s="2283"/>
      <c r="E47" s="2283"/>
      <c r="F47" s="2283"/>
      <c r="G47" s="2283"/>
      <c r="H47" s="2283"/>
      <c r="I47" s="2283"/>
      <c r="J47" s="2283"/>
      <c r="K47" s="2283"/>
      <c r="L47" s="2283"/>
      <c r="M47" s="2283"/>
      <c r="N47" s="2283"/>
      <c r="O47" s="1313"/>
      <c r="P47" s="1313"/>
      <c r="T47" s="1827"/>
    </row>
    <row r="48" spans="2:20" ht="17.25" customHeight="1">
      <c r="B48" s="2283"/>
      <c r="C48" s="2283"/>
      <c r="D48" s="2283"/>
      <c r="E48" s="2283"/>
      <c r="F48" s="2283"/>
      <c r="G48" s="2283"/>
      <c r="H48" s="2283"/>
      <c r="I48" s="2283"/>
      <c r="J48" s="2283"/>
      <c r="K48" s="2283"/>
      <c r="L48" s="2283"/>
      <c r="M48" s="2283"/>
      <c r="N48" s="2283"/>
      <c r="O48" s="276"/>
      <c r="P48" s="276"/>
    </row>
    <row r="50" spans="2:14">
      <c r="B50" s="2279" t="s">
        <v>889</v>
      </c>
      <c r="C50" s="2279"/>
      <c r="D50" s="2279"/>
      <c r="E50" s="2279"/>
      <c r="F50" s="2279"/>
      <c r="G50" s="2279"/>
      <c r="H50" s="2279"/>
      <c r="I50" s="2279"/>
      <c r="J50" s="2279"/>
      <c r="K50" s="2279"/>
      <c r="L50" s="2279"/>
      <c r="M50" s="2279"/>
      <c r="N50" s="2279"/>
    </row>
    <row r="51" spans="2:14" ht="21.75" customHeight="1">
      <c r="B51" s="2279"/>
      <c r="C51" s="2279"/>
      <c r="D51" s="2279"/>
      <c r="E51" s="2279"/>
      <c r="F51" s="2279"/>
      <c r="G51" s="2279"/>
      <c r="H51" s="2279"/>
      <c r="I51" s="2279"/>
      <c r="J51" s="2279"/>
      <c r="K51" s="2279"/>
      <c r="L51" s="2279"/>
      <c r="M51" s="2279"/>
      <c r="N51" s="2279"/>
    </row>
    <row r="53" spans="2:14" ht="15.75">
      <c r="B53" s="127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R69"/>
  <sheetViews>
    <sheetView zoomScaleNormal="100" workbookViewId="0">
      <selection activeCell="L39" sqref="L39"/>
    </sheetView>
  </sheetViews>
  <sheetFormatPr defaultColWidth="9.28515625" defaultRowHeight="12.75"/>
  <cols>
    <col min="1" max="1" width="11.28515625" style="1838" customWidth="1"/>
    <col min="2" max="2" width="11.7109375" style="1838" bestFit="1" customWidth="1"/>
    <col min="3" max="3" width="23.7109375" style="1838" customWidth="1"/>
    <col min="4" max="4" width="21" style="1838" customWidth="1"/>
    <col min="5" max="5" width="9.28515625" style="1838"/>
    <col min="6" max="6" width="12" style="1838" bestFit="1" customWidth="1"/>
    <col min="7" max="7" width="18.28515625" style="1838" bestFit="1" customWidth="1"/>
    <col min="8" max="8" width="21.42578125" style="394" customWidth="1"/>
    <col min="9" max="9" width="1.5703125" style="394" customWidth="1"/>
    <col min="10" max="10" width="21" style="394" customWidth="1"/>
    <col min="11" max="11" width="1.7109375" style="394" customWidth="1"/>
    <col min="12" max="12" width="18.28515625" style="394" customWidth="1"/>
    <col min="13" max="13" width="1.7109375" style="394" customWidth="1"/>
    <col min="14" max="14" width="17" style="394" customWidth="1"/>
    <col min="15" max="15" width="1.7109375" style="394" customWidth="1"/>
    <col min="16" max="16" width="18.28515625" style="394" customWidth="1"/>
    <col min="17" max="17" width="7.7109375" style="394" bestFit="1" customWidth="1"/>
    <col min="18" max="18" width="11.28515625" style="394" hidden="1" customWidth="1"/>
    <col min="19" max="19" width="9.28515625" style="394"/>
    <col min="20" max="20" width="11.28515625" style="394" customWidth="1"/>
    <col min="21" max="16384" width="9.28515625" style="394"/>
  </cols>
  <sheetData>
    <row r="1" spans="1:7" ht="15">
      <c r="A1" s="1837"/>
    </row>
    <row r="2" spans="1:7" ht="15.75">
      <c r="A2" s="1247"/>
    </row>
    <row r="3" spans="1:7" ht="15.75">
      <c r="A3" s="1247"/>
    </row>
    <row r="4" spans="1:7" ht="15.75">
      <c r="A4" s="1247"/>
    </row>
    <row r="5" spans="1:7" ht="15.75">
      <c r="A5" s="2285" t="str">
        <f>+'SWT TCOS'!F4</f>
        <v xml:space="preserve">AEP West SPP Member Transmission Companies </v>
      </c>
      <c r="B5" s="2285"/>
      <c r="C5" s="2285"/>
      <c r="D5" s="2285"/>
      <c r="E5" s="2285"/>
      <c r="F5" s="2285"/>
      <c r="G5" s="2285"/>
    </row>
    <row r="6" spans="1:7" ht="15.75">
      <c r="A6" s="2286" t="str">
        <f>+'SWT WS A-1 - Plant'!A3</f>
        <v xml:space="preserve">Actual / Projected 2022 Rate Year Cost of Service Formula Rate </v>
      </c>
      <c r="B6" s="2286"/>
      <c r="C6" s="2286"/>
      <c r="D6" s="2286"/>
      <c r="E6" s="2286"/>
      <c r="F6" s="2286"/>
      <c r="G6" s="2286"/>
    </row>
    <row r="7" spans="1:7" ht="15.75">
      <c r="A7" s="2286" t="s">
        <v>891</v>
      </c>
      <c r="B7" s="2286"/>
      <c r="C7" s="2286"/>
      <c r="D7" s="2286"/>
      <c r="E7" s="2286"/>
      <c r="F7" s="2286"/>
      <c r="G7" s="2286"/>
    </row>
    <row r="8" spans="1:7" ht="15.75" customHeight="1">
      <c r="A8" s="2287" t="str">
        <f>+'SWT TCOS'!F8</f>
        <v>AEP SOUTHWESTERN TRANSMISSION COMPANY</v>
      </c>
      <c r="B8" s="2287"/>
      <c r="C8" s="2287"/>
      <c r="D8" s="2287"/>
      <c r="E8" s="2287"/>
      <c r="F8" s="2287"/>
      <c r="G8" s="2287"/>
    </row>
    <row r="10" spans="1:7" ht="13.5" customHeight="1">
      <c r="A10" s="2321" t="s">
        <v>897</v>
      </c>
      <c r="B10" s="2321"/>
      <c r="C10" s="2321"/>
      <c r="D10" s="2321"/>
      <c r="E10" s="2321"/>
      <c r="F10" s="2321"/>
      <c r="G10" s="2321"/>
    </row>
    <row r="11" spans="1:7">
      <c r="G11" s="1839"/>
    </row>
    <row r="12" spans="1:7">
      <c r="A12" s="1840"/>
      <c r="B12" s="1841" t="s">
        <v>691</v>
      </c>
    </row>
    <row r="13" spans="1:7">
      <c r="A13" s="1842">
        <v>1</v>
      </c>
      <c r="C13" s="1843">
        <f>+'SWT WS N Sch 11 TU'!B19</f>
        <v>44562</v>
      </c>
      <c r="E13" s="1919">
        <v>2.8E-3</v>
      </c>
      <c r="F13" s="1844"/>
      <c r="G13" s="1844"/>
    </row>
    <row r="14" spans="1:7">
      <c r="A14" s="1842">
        <v>2</v>
      </c>
      <c r="C14" s="1843">
        <f>+'SWT WS N Sch 11 TU'!B20</f>
        <v>44593</v>
      </c>
      <c r="E14" s="1919">
        <v>2.5000000000000001E-3</v>
      </c>
      <c r="F14" s="1844"/>
      <c r="G14" s="1844"/>
    </row>
    <row r="15" spans="1:7">
      <c r="A15" s="1842">
        <v>3</v>
      </c>
      <c r="C15" s="1843">
        <f>+'SWT WS N Sch 11 TU'!B21</f>
        <v>44621</v>
      </c>
      <c r="E15" s="1919">
        <v>2.8E-3</v>
      </c>
      <c r="F15" s="1844"/>
      <c r="G15" s="1844"/>
    </row>
    <row r="16" spans="1:7">
      <c r="A16" s="1842">
        <v>4</v>
      </c>
      <c r="C16" s="1843">
        <f>+'SWT WS N Sch 11 TU'!B22</f>
        <v>44652</v>
      </c>
      <c r="E16" s="1919">
        <v>2.7000000000000001E-3</v>
      </c>
      <c r="F16" s="1844"/>
      <c r="G16" s="1844"/>
    </row>
    <row r="17" spans="1:7">
      <c r="A17" s="1842">
        <v>5</v>
      </c>
      <c r="C17" s="1843">
        <f>+'SWT WS N Sch 11 TU'!B23</f>
        <v>44682</v>
      </c>
      <c r="E17" s="1919">
        <v>2.8E-3</v>
      </c>
      <c r="F17" s="1845"/>
      <c r="G17" s="1844"/>
    </row>
    <row r="18" spans="1:7">
      <c r="A18" s="1842">
        <v>6</v>
      </c>
      <c r="C18" s="1843">
        <f>+'SWT WS N Sch 11 TU'!B24</f>
        <v>44713</v>
      </c>
      <c r="E18" s="1919">
        <v>2.7000000000000001E-3</v>
      </c>
      <c r="F18" s="1844"/>
      <c r="G18" s="1844"/>
    </row>
    <row r="19" spans="1:7">
      <c r="A19" s="1842">
        <v>7</v>
      </c>
      <c r="C19" s="1843">
        <f>+'SWT WS N Sch 11 TU'!B25</f>
        <v>44743</v>
      </c>
      <c r="E19" s="1919">
        <v>3.0999999999999999E-3</v>
      </c>
      <c r="F19" s="1844"/>
      <c r="G19" s="1844"/>
    </row>
    <row r="20" spans="1:7">
      <c r="A20" s="1842">
        <v>8</v>
      </c>
      <c r="C20" s="1843">
        <f>+'SWT WS N Sch 11 TU'!B26</f>
        <v>44774</v>
      </c>
      <c r="E20" s="1919">
        <v>3.0999999999999999E-3</v>
      </c>
      <c r="F20" s="1844"/>
      <c r="G20" s="1844"/>
    </row>
    <row r="21" spans="1:7">
      <c r="A21" s="1842">
        <v>9</v>
      </c>
      <c r="C21" s="1843">
        <f>+'SWT WS N Sch 11 TU'!B27</f>
        <v>44805</v>
      </c>
      <c r="E21" s="1919">
        <v>3.0000000000000001E-3</v>
      </c>
      <c r="F21" s="1844"/>
      <c r="G21" s="1844"/>
    </row>
    <row r="22" spans="1:7">
      <c r="A22" s="1842">
        <v>10</v>
      </c>
      <c r="C22" s="1843">
        <f>+'SWT WS N Sch 11 TU'!B28</f>
        <v>44835</v>
      </c>
      <c r="E22" s="1919">
        <v>4.1999999999999997E-3</v>
      </c>
      <c r="F22" s="1844"/>
      <c r="G22" s="1844"/>
    </row>
    <row r="23" spans="1:7">
      <c r="A23" s="1842">
        <v>11</v>
      </c>
      <c r="C23" s="1843">
        <f>+'SWT WS N Sch 11 TU'!B29</f>
        <v>44866</v>
      </c>
      <c r="E23" s="1919">
        <v>4.0000000000000001E-3</v>
      </c>
      <c r="F23" s="1845"/>
      <c r="G23" s="1844"/>
    </row>
    <row r="24" spans="1:7">
      <c r="A24" s="1842">
        <v>12</v>
      </c>
      <c r="C24" s="1843">
        <f>+'SWT WS N Sch 11 TU'!B30</f>
        <v>44896</v>
      </c>
      <c r="E24" s="1919">
        <v>4.1999999999999997E-3</v>
      </c>
      <c r="F24" s="1844"/>
      <c r="G24" s="1844"/>
    </row>
    <row r="25" spans="1:7">
      <c r="A25" s="1842">
        <f>+A24+1</f>
        <v>13</v>
      </c>
      <c r="C25" s="1843">
        <f>+'SWT WS N Sch 11 TU'!B33</f>
        <v>44927</v>
      </c>
      <c r="E25" s="1919">
        <v>5.4000000000000003E-3</v>
      </c>
      <c r="F25" s="1844"/>
      <c r="G25" s="1844"/>
    </row>
    <row r="26" spans="1:7">
      <c r="A26" s="1842">
        <f t="shared" ref="A26:A36" si="0">+A25+1</f>
        <v>14</v>
      </c>
      <c r="C26" s="1843">
        <f>+'SWT WS N Sch 11 TU'!B34</f>
        <v>44958</v>
      </c>
      <c r="E26" s="1919">
        <v>4.7999999999999996E-3</v>
      </c>
      <c r="F26" s="1844"/>
      <c r="G26" s="1844"/>
    </row>
    <row r="27" spans="1:7">
      <c r="A27" s="1842">
        <f t="shared" si="0"/>
        <v>15</v>
      </c>
      <c r="C27" s="1843">
        <f>+'SWT WS N Sch 11 TU'!B35</f>
        <v>44986</v>
      </c>
      <c r="E27" s="1919">
        <v>5.4000000000000003E-3</v>
      </c>
      <c r="F27" s="1844"/>
      <c r="G27" s="1844"/>
    </row>
    <row r="28" spans="1:7">
      <c r="A28" s="1842">
        <f t="shared" si="0"/>
        <v>16</v>
      </c>
      <c r="C28" s="1843">
        <f>+'SWT WS N Sch 11 TU'!B36</f>
        <v>45017</v>
      </c>
      <c r="E28" s="1919">
        <v>6.1999999999999998E-3</v>
      </c>
      <c r="F28" s="1844"/>
      <c r="G28" s="1844"/>
    </row>
    <row r="29" spans="1:7">
      <c r="A29" s="1842">
        <f t="shared" si="0"/>
        <v>17</v>
      </c>
      <c r="C29" s="1843">
        <f>+'SWT WS N Sch 11 TU'!B37</f>
        <v>45047</v>
      </c>
      <c r="E29" s="1919">
        <v>6.4000000000000003E-3</v>
      </c>
      <c r="F29" s="1844"/>
      <c r="G29" s="1844"/>
    </row>
    <row r="30" spans="1:7">
      <c r="A30" s="1842">
        <f t="shared" si="0"/>
        <v>18</v>
      </c>
      <c r="C30" s="1843">
        <f>+'SWT WS N Sch 11 TU'!B38</f>
        <v>45078</v>
      </c>
      <c r="E30" s="1919">
        <v>6.1999999999999998E-3</v>
      </c>
      <c r="F30" s="1844"/>
      <c r="G30" s="1844"/>
    </row>
    <row r="31" spans="1:7">
      <c r="A31" s="1842">
        <f t="shared" si="0"/>
        <v>19</v>
      </c>
      <c r="C31" s="1843">
        <f>+'SWT WS N Sch 11 TU'!B39</f>
        <v>45108</v>
      </c>
      <c r="E31" s="1919">
        <v>6.1999999999999998E-3</v>
      </c>
      <c r="F31" s="1844"/>
      <c r="G31" s="1844"/>
    </row>
    <row r="32" spans="1:7">
      <c r="A32" s="1842">
        <f t="shared" si="0"/>
        <v>20</v>
      </c>
      <c r="C32" s="1843">
        <f>+'SWT WS N Sch 11 TU'!B40</f>
        <v>45139</v>
      </c>
      <c r="E32" s="1919">
        <v>6.1999999999999998E-3</v>
      </c>
      <c r="F32" s="1844"/>
      <c r="G32" s="1844"/>
    </row>
    <row r="33" spans="1:7">
      <c r="A33" s="1842">
        <f t="shared" si="0"/>
        <v>21</v>
      </c>
      <c r="C33" s="1843">
        <f>+'SWT WS N Sch 11 TU'!B41</f>
        <v>45170</v>
      </c>
      <c r="E33" s="1919">
        <v>6.1999999999999998E-3</v>
      </c>
      <c r="F33" s="1844"/>
      <c r="G33" s="1844"/>
    </row>
    <row r="34" spans="1:7">
      <c r="A34" s="1842">
        <f t="shared" si="0"/>
        <v>22</v>
      </c>
      <c r="C34" s="1843">
        <f>+'SWT WS N Sch 11 TU'!B42</f>
        <v>45200</v>
      </c>
      <c r="E34" s="1919">
        <v>6.1999999999999998E-3</v>
      </c>
      <c r="F34" s="1844"/>
      <c r="G34" s="1844"/>
    </row>
    <row r="35" spans="1:7">
      <c r="A35" s="1842">
        <f t="shared" si="0"/>
        <v>23</v>
      </c>
      <c r="C35" s="1843">
        <f>+'SWT WS N Sch 11 TU'!B43</f>
        <v>45231</v>
      </c>
      <c r="E35" s="1919">
        <v>6.1999999999999998E-3</v>
      </c>
      <c r="F35" s="1844"/>
      <c r="G35" s="1844"/>
    </row>
    <row r="36" spans="1:7">
      <c r="A36" s="1842">
        <f t="shared" si="0"/>
        <v>24</v>
      </c>
      <c r="C36" s="1843">
        <f>+'SWT WS N Sch 11 TU'!B44</f>
        <v>45261</v>
      </c>
      <c r="E36" s="1919">
        <v>6.1999999999999998E-3</v>
      </c>
      <c r="F36" s="1844"/>
      <c r="G36" s="1844"/>
    </row>
    <row r="37" spans="1:7">
      <c r="A37" s="1842"/>
      <c r="C37" s="1846"/>
      <c r="D37" s="1847"/>
      <c r="E37" s="1847"/>
      <c r="F37" s="1844"/>
      <c r="G37" s="1844"/>
    </row>
    <row r="38" spans="1:7">
      <c r="A38" s="1842"/>
      <c r="B38" s="1848" t="s">
        <v>692</v>
      </c>
      <c r="C38" s="1846"/>
      <c r="D38" s="1847"/>
      <c r="E38" s="1847"/>
    </row>
    <row r="39" spans="1:7">
      <c r="A39" s="1842">
        <f>A36+1</f>
        <v>25</v>
      </c>
      <c r="B39" s="1849" t="str">
        <f>"Average Monthly Rate - Lines "&amp;A25&amp;"- "&amp;A36</f>
        <v>Average Monthly Rate - Lines 13- 24</v>
      </c>
      <c r="C39" s="1850"/>
      <c r="D39" s="1847"/>
      <c r="E39" s="1851">
        <f>+AVERAGE(E25:E36)</f>
        <v>5.9666666666666653E-3</v>
      </c>
    </row>
    <row r="40" spans="1:7">
      <c r="E40" s="1852"/>
    </row>
    <row r="41" spans="1:7" ht="30.75" customHeight="1">
      <c r="A41" s="2320" t="s">
        <v>898</v>
      </c>
      <c r="B41" s="2320"/>
      <c r="C41" s="2320"/>
      <c r="D41" s="2320"/>
      <c r="E41" s="2320"/>
      <c r="F41" s="2320"/>
      <c r="G41" s="2320"/>
    </row>
    <row r="43" spans="1:7" ht="15.75">
      <c r="A43" s="1313"/>
    </row>
    <row r="46" spans="1:7" ht="15.75" customHeight="1">
      <c r="C46" s="1313"/>
      <c r="D46" s="1313"/>
      <c r="E46" s="1313"/>
      <c r="F46" s="1313"/>
      <c r="G46" s="1313"/>
    </row>
    <row r="47" spans="1:7" ht="12.75" customHeight="1">
      <c r="C47" s="1313"/>
      <c r="D47" s="1313"/>
      <c r="E47" s="1313"/>
      <c r="F47" s="1313"/>
      <c r="G47" s="1313"/>
    </row>
    <row r="49" spans="2:7" ht="12.75" customHeight="1">
      <c r="C49" s="1337"/>
      <c r="D49" s="1337"/>
      <c r="E49" s="1337"/>
      <c r="F49" s="1337"/>
      <c r="G49" s="1337"/>
    </row>
    <row r="50" spans="2:7" ht="12.75" customHeight="1">
      <c r="B50" s="1337"/>
      <c r="C50" s="1337"/>
      <c r="D50" s="1337"/>
      <c r="E50" s="1337"/>
      <c r="F50" s="1337"/>
      <c r="G50" s="133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Transco Formula Rate
TCOS - WS Q
Page: &amp;P of &amp;N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18"/>
  <sheetViews>
    <sheetView zoomScale="81" zoomScaleNormal="81" zoomScaleSheetLayoutView="80" zoomScalePageLayoutView="90" workbookViewId="0">
      <selection activeCell="I8" sqref="I8"/>
    </sheetView>
  </sheetViews>
  <sheetFormatPr defaultColWidth="11.42578125" defaultRowHeight="12.75"/>
  <cols>
    <col min="1" max="1" width="9" style="1553" customWidth="1"/>
    <col min="2" max="2" width="4.28515625" style="1511" customWidth="1"/>
    <col min="3" max="3" width="51.42578125" style="1511" customWidth="1"/>
    <col min="4" max="4" width="21" style="1511" customWidth="1"/>
    <col min="5" max="5" width="16.5703125" style="1511" customWidth="1"/>
    <col min="6" max="6" width="18.5703125" style="1511" customWidth="1"/>
    <col min="7" max="7" width="20" style="1511" bestFit="1" customWidth="1"/>
    <col min="8" max="8" width="18.28515625" style="1511" customWidth="1"/>
    <col min="9" max="9" width="17" style="1511" customWidth="1"/>
    <col min="10" max="10" width="16" style="1511" customWidth="1"/>
    <col min="11" max="11" width="16.7109375" style="1511" customWidth="1"/>
    <col min="12" max="12" width="13.7109375" style="1511" customWidth="1"/>
    <col min="13" max="13" width="11.5703125" style="1511" customWidth="1"/>
    <col min="14" max="15" width="13.42578125" style="1511" customWidth="1"/>
    <col min="16" max="16" width="13.7109375" style="1511" customWidth="1"/>
    <col min="17" max="16384" width="11.42578125" style="1511"/>
  </cols>
  <sheetData>
    <row r="1" spans="1:15" ht="15">
      <c r="A1" s="1412"/>
    </row>
    <row r="2" spans="1:15" ht="15">
      <c r="A2" s="2302" t="str">
        <f>'SWT TCOS'!F4</f>
        <v xml:space="preserve">AEP West SPP Member Transmission Companies </v>
      </c>
      <c r="B2" s="2302"/>
      <c r="C2" s="2302"/>
      <c r="D2" s="2302"/>
      <c r="E2" s="2302"/>
      <c r="F2" s="2302"/>
      <c r="G2" s="2302"/>
      <c r="H2" s="2302"/>
      <c r="I2" s="650"/>
      <c r="J2" s="276"/>
      <c r="K2" s="276"/>
    </row>
    <row r="3" spans="1:15" ht="15">
      <c r="A3" s="2302" t="str">
        <f>"Actual / Projected "&amp;'SWT TCOS'!$N$2&amp;" Rate Year Cost of Service Formula Rate "</f>
        <v xml:space="preserve">Actual / Projected 2022 Rate Year Cost of Service Formula Rate </v>
      </c>
      <c r="B3" s="2302"/>
      <c r="C3" s="2302"/>
      <c r="D3" s="2302"/>
      <c r="E3" s="2302"/>
      <c r="F3" s="2302"/>
      <c r="G3" s="2302"/>
      <c r="H3" s="2302"/>
      <c r="I3" s="1853"/>
    </row>
    <row r="4" spans="1:15" ht="15.75">
      <c r="A4" s="2303" t="s">
        <v>895</v>
      </c>
      <c r="B4" s="2302"/>
      <c r="C4" s="2302"/>
      <c r="D4" s="2302"/>
      <c r="E4" s="2302"/>
      <c r="F4" s="2302"/>
      <c r="G4" s="2302"/>
      <c r="H4" s="2302"/>
      <c r="I4" s="1513"/>
    </row>
    <row r="5" spans="1:15" ht="15.75">
      <c r="A5" s="2304" t="str">
        <f>+'SWT TCOS'!$F$8</f>
        <v>AEP SOUTHWESTERN TRANSMISSION COMPANY</v>
      </c>
      <c r="B5" s="2303"/>
      <c r="C5" s="2303"/>
      <c r="D5" s="2303"/>
      <c r="E5" s="2303"/>
      <c r="F5" s="2303"/>
      <c r="G5" s="2303"/>
      <c r="H5" s="2303"/>
      <c r="I5" s="1339"/>
    </row>
    <row r="6" spans="1:15" ht="15">
      <c r="A6" s="1339"/>
      <c r="B6" s="1339"/>
      <c r="C6" s="1339"/>
      <c r="F6" s="1854"/>
      <c r="G6" s="1854"/>
      <c r="H6" s="1854"/>
      <c r="I6" s="1854"/>
      <c r="J6" s="1854"/>
    </row>
    <row r="7" spans="1:15">
      <c r="C7" s="1855" t="s">
        <v>298</v>
      </c>
      <c r="D7" s="1855" t="s">
        <v>299</v>
      </c>
      <c r="E7" s="1855" t="s">
        <v>300</v>
      </c>
      <c r="F7" s="1855" t="s">
        <v>301</v>
      </c>
      <c r="G7" s="1855" t="s">
        <v>226</v>
      </c>
      <c r="H7" s="1855" t="s">
        <v>227</v>
      </c>
      <c r="I7" s="1855"/>
      <c r="J7" s="1855"/>
    </row>
    <row r="8" spans="1:15">
      <c r="A8" s="510" t="s">
        <v>305</v>
      </c>
      <c r="C8" s="1855"/>
      <c r="D8" s="1855"/>
      <c r="E8" s="1856" t="s">
        <v>766</v>
      </c>
      <c r="F8" s="1523" t="s">
        <v>15</v>
      </c>
      <c r="G8" s="1523" t="s">
        <v>60</v>
      </c>
      <c r="H8" s="2323" t="str">
        <f>"Average Balance for "&amp;'SWT TCOS'!$N$2&amp;""</f>
        <v>Average Balance for 2022</v>
      </c>
      <c r="I8" s="1855"/>
      <c r="J8" s="1855"/>
    </row>
    <row r="9" spans="1:15">
      <c r="A9" s="510" t="s">
        <v>243</v>
      </c>
      <c r="C9" s="1523" t="s">
        <v>303</v>
      </c>
      <c r="D9" s="1857" t="s">
        <v>387</v>
      </c>
      <c r="E9" s="1857" t="s">
        <v>765</v>
      </c>
      <c r="F9" s="1858" t="str">
        <f>"12/31/"&amp;'SWT TCOS'!$N$2&amp;""</f>
        <v>12/31/2022</v>
      </c>
      <c r="G9" s="1858" t="str">
        <f>"12/31/"&amp;'SWT TCOS'!$N$2-1&amp;""</f>
        <v>12/31/2021</v>
      </c>
      <c r="H9" s="2291"/>
      <c r="I9" s="1523"/>
      <c r="J9" s="1523"/>
      <c r="L9" s="276"/>
      <c r="M9" s="276"/>
      <c r="N9" s="276"/>
      <c r="O9" s="276"/>
    </row>
    <row r="10" spans="1:15">
      <c r="A10" s="270"/>
      <c r="B10" s="270"/>
      <c r="C10" s="270"/>
      <c r="D10" s="270"/>
      <c r="E10" s="270"/>
      <c r="G10" s="1859"/>
      <c r="H10" s="1521"/>
      <c r="I10" s="1521"/>
      <c r="J10" s="270"/>
      <c r="K10" s="1521"/>
      <c r="L10" s="276"/>
      <c r="M10" s="276"/>
      <c r="N10" s="276"/>
      <c r="O10" s="276"/>
    </row>
    <row r="11" spans="1:15">
      <c r="A11" s="1553">
        <v>1</v>
      </c>
      <c r="C11" s="1348"/>
      <c r="D11" s="1349"/>
      <c r="E11" s="1349"/>
      <c r="F11" s="1348"/>
      <c r="G11" s="1348"/>
      <c r="H11" s="1350">
        <f t="shared" ref="H11:H15" si="0">IF(G11="",0,(F11+G11)/2)</f>
        <v>0</v>
      </c>
      <c r="J11" s="1860"/>
      <c r="L11" s="1860"/>
      <c r="M11" s="1860"/>
      <c r="N11" s="1860"/>
      <c r="O11" s="1860"/>
    </row>
    <row r="12" spans="1:15">
      <c r="A12" s="1553">
        <f>+A11+1</f>
        <v>2</v>
      </c>
      <c r="C12" s="1348"/>
      <c r="D12" s="1348"/>
      <c r="E12" s="1348"/>
      <c r="F12" s="1348"/>
      <c r="G12" s="1348"/>
      <c r="H12" s="1350">
        <f t="shared" si="0"/>
        <v>0</v>
      </c>
      <c r="J12" s="1860"/>
      <c r="L12" s="1860"/>
      <c r="M12" s="1860"/>
      <c r="N12" s="1860"/>
      <c r="O12" s="1860"/>
    </row>
    <row r="13" spans="1:15">
      <c r="A13" s="1553">
        <f>+A12+1</f>
        <v>3</v>
      </c>
      <c r="C13" s="1348"/>
      <c r="D13" s="1348"/>
      <c r="E13" s="1348"/>
      <c r="F13" s="1348"/>
      <c r="G13" s="1348"/>
      <c r="H13" s="1350">
        <f t="shared" si="0"/>
        <v>0</v>
      </c>
      <c r="J13" s="1860"/>
      <c r="L13" s="1860"/>
      <c r="M13" s="1860"/>
      <c r="N13" s="1860"/>
      <c r="O13" s="1860"/>
    </row>
    <row r="14" spans="1:15">
      <c r="A14" s="1553">
        <f>+A13+1</f>
        <v>4</v>
      </c>
      <c r="C14" s="1352"/>
      <c r="D14" s="1352"/>
      <c r="E14" s="1352"/>
      <c r="F14" s="1352"/>
      <c r="G14" s="1352"/>
      <c r="H14" s="1350">
        <f t="shared" si="0"/>
        <v>0</v>
      </c>
      <c r="J14" s="1860"/>
      <c r="L14" s="1860"/>
      <c r="M14" s="1860"/>
      <c r="N14" s="1860"/>
      <c r="O14" s="1860"/>
    </row>
    <row r="15" spans="1:15">
      <c r="A15" s="1553">
        <f>+A14+1</f>
        <v>5</v>
      </c>
      <c r="C15" s="1352"/>
      <c r="D15" s="1352"/>
      <c r="E15" s="1352"/>
      <c r="F15" s="1352"/>
      <c r="G15" s="1352"/>
      <c r="H15" s="1350">
        <f t="shared" si="0"/>
        <v>0</v>
      </c>
      <c r="J15" s="1860"/>
      <c r="L15" s="1860"/>
      <c r="M15" s="1860"/>
      <c r="N15" s="1860"/>
      <c r="O15" s="1860"/>
    </row>
    <row r="16" spans="1:15">
      <c r="A16" s="1553">
        <f>+A15+1</f>
        <v>6</v>
      </c>
      <c r="C16" s="1861" t="s">
        <v>726</v>
      </c>
      <c r="D16" s="1861"/>
      <c r="E16" s="1861"/>
      <c r="F16" s="1862">
        <f>+SUM(F11:F15)</f>
        <v>0</v>
      </c>
      <c r="G16" s="1862">
        <f>+SUM(G11:G15)</f>
        <v>0</v>
      </c>
      <c r="H16" s="1862">
        <f>+SUM(H11:H15)</f>
        <v>0</v>
      </c>
      <c r="J16" s="1860"/>
      <c r="L16" s="1860"/>
      <c r="M16" s="1860"/>
      <c r="N16" s="1860"/>
      <c r="O16" s="1860"/>
    </row>
    <row r="18" spans="1:8" ht="29.25" customHeight="1">
      <c r="A18" s="2322" t="s">
        <v>767</v>
      </c>
      <c r="B18" s="2322"/>
      <c r="C18" s="2322"/>
      <c r="D18" s="2322"/>
      <c r="E18" s="2322"/>
      <c r="F18" s="2322"/>
      <c r="G18" s="2322"/>
      <c r="H18" s="2322"/>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53"/>
  <sheetViews>
    <sheetView zoomScale="81" zoomScaleNormal="81" zoomScaleSheetLayoutView="90" zoomScalePageLayoutView="90" workbookViewId="0">
      <selection activeCell="J16" sqref="J16"/>
    </sheetView>
  </sheetViews>
  <sheetFormatPr defaultColWidth="11.42578125" defaultRowHeight="12.75"/>
  <cols>
    <col min="1" max="1" width="1.7109375" style="1553" customWidth="1"/>
    <col min="2" max="2" width="6.28515625" style="1511" customWidth="1"/>
    <col min="3" max="3" width="4" style="1511" customWidth="1"/>
    <col min="4" max="4" width="35.28515625" style="1511" customWidth="1"/>
    <col min="5" max="5" width="14.28515625" style="1511" customWidth="1"/>
    <col min="6" max="6" width="20" style="1511" bestFit="1" customWidth="1"/>
    <col min="7" max="7" width="18.42578125" style="1511" customWidth="1"/>
    <col min="8" max="8" width="10.7109375" style="1511" customWidth="1"/>
    <col min="9" max="9" width="16" style="1511" customWidth="1"/>
    <col min="10" max="10" width="13.7109375" style="1511" customWidth="1"/>
    <col min="11" max="11" width="10.7109375" style="1511" customWidth="1"/>
    <col min="12" max="12" width="14" style="1511" customWidth="1"/>
    <col min="13" max="13" width="11.7109375" style="1511" customWidth="1"/>
    <col min="14" max="14" width="14.42578125" style="1511" customWidth="1"/>
    <col min="15" max="15" width="13.42578125" style="1511" customWidth="1"/>
    <col min="16" max="16" width="13.7109375" style="1511" customWidth="1"/>
    <col min="17" max="16384" width="11.42578125" style="1511"/>
  </cols>
  <sheetData>
    <row r="1" spans="1:15" ht="15">
      <c r="A1" s="1412"/>
    </row>
    <row r="2" spans="1:15" ht="15">
      <c r="A2" s="2192" t="str">
        <f>+'SWT TCOS'!F4</f>
        <v xml:space="preserve">AEP West SPP Member Transmission Companies </v>
      </c>
      <c r="B2" s="2192"/>
      <c r="C2" s="2192"/>
      <c r="D2" s="2192"/>
      <c r="E2" s="2192"/>
      <c r="F2" s="2192"/>
      <c r="G2" s="2192"/>
      <c r="H2" s="2192"/>
      <c r="I2" s="2192"/>
      <c r="J2" s="2192"/>
    </row>
    <row r="3" spans="1:15" ht="15">
      <c r="A3" s="2302" t="str">
        <f>+'SWT WS A-1 - Plant'!A3</f>
        <v xml:space="preserve">Actual / Projected 2022 Rate Year Cost of Service Formula Rate </v>
      </c>
      <c r="B3" s="2302"/>
      <c r="C3" s="2302"/>
      <c r="D3" s="2302"/>
      <c r="E3" s="2302"/>
      <c r="F3" s="2302"/>
      <c r="G3" s="2302"/>
      <c r="H3" s="2302"/>
      <c r="I3" s="2302"/>
      <c r="J3" s="2302"/>
    </row>
    <row r="4" spans="1:15" ht="15.75">
      <c r="A4" s="2303" t="s">
        <v>886</v>
      </c>
      <c r="B4" s="2302"/>
      <c r="C4" s="2302"/>
      <c r="D4" s="2302"/>
      <c r="E4" s="2302"/>
      <c r="F4" s="2302"/>
      <c r="G4" s="2302"/>
      <c r="H4" s="2302"/>
      <c r="I4" s="2302"/>
      <c r="J4" s="2302"/>
    </row>
    <row r="5" spans="1:15" ht="15.75">
      <c r="A5" s="2243" t="str">
        <f>+'SWT TCOS'!F8</f>
        <v>AEP SOUTHWESTERN TRANSMISSION COMPANY</v>
      </c>
      <c r="B5" s="2243"/>
      <c r="C5" s="2243"/>
      <c r="D5" s="2243"/>
      <c r="E5" s="2243"/>
      <c r="F5" s="2243"/>
      <c r="G5" s="2243"/>
      <c r="H5" s="2243"/>
      <c r="I5" s="2243"/>
      <c r="J5" s="2243"/>
    </row>
    <row r="6" spans="1:15" ht="18">
      <c r="A6" s="923"/>
      <c r="B6" s="923"/>
      <c r="C6" s="923"/>
      <c r="D6" s="923"/>
      <c r="E6" s="923"/>
      <c r="F6" s="923"/>
      <c r="H6" s="923"/>
      <c r="I6" s="923"/>
      <c r="J6" s="923"/>
      <c r="K6" s="1860"/>
      <c r="L6" s="1860"/>
      <c r="M6" s="1860"/>
      <c r="N6" s="1860"/>
      <c r="O6" s="1860"/>
    </row>
    <row r="7" spans="1:15" ht="18">
      <c r="A7" s="923"/>
      <c r="B7" s="323"/>
      <c r="C7" s="323"/>
      <c r="D7" s="2260" t="s">
        <v>298</v>
      </c>
      <c r="E7" s="2260"/>
      <c r="F7" s="553" t="s">
        <v>299</v>
      </c>
      <c r="G7" s="553" t="s">
        <v>300</v>
      </c>
      <c r="H7" s="553" t="s">
        <v>301</v>
      </c>
      <c r="I7" s="553" t="s">
        <v>226</v>
      </c>
      <c r="J7" s="923"/>
      <c r="K7" s="1860"/>
      <c r="L7" s="1860"/>
      <c r="M7" s="1860"/>
      <c r="N7" s="1860"/>
      <c r="O7" s="1860"/>
    </row>
    <row r="8" spans="1:15" ht="46.5" customHeight="1">
      <c r="A8" s="923"/>
      <c r="B8" s="712" t="s">
        <v>305</v>
      </c>
      <c r="C8" s="323"/>
      <c r="D8" s="2259" t="s">
        <v>303</v>
      </c>
      <c r="E8" s="2259"/>
      <c r="F8" s="1355" t="s">
        <v>737</v>
      </c>
      <c r="G8" s="1355" t="s">
        <v>342</v>
      </c>
      <c r="H8" s="555" t="s">
        <v>750</v>
      </c>
      <c r="I8" s="555" t="str">
        <f>+'SWT TCOS'!N2&amp;" Amortization / (Deferral)"</f>
        <v>2022 Amortization / (Deferral)</v>
      </c>
      <c r="J8" s="923"/>
      <c r="K8" s="1860"/>
      <c r="L8" s="1860"/>
      <c r="M8" s="1860"/>
      <c r="N8" s="1860"/>
      <c r="O8" s="1860"/>
    </row>
    <row r="9" spans="1:15" ht="15">
      <c r="A9" s="323"/>
      <c r="B9" s="1356"/>
      <c r="C9" s="1076"/>
      <c r="D9" s="1863"/>
      <c r="E9" s="1864"/>
      <c r="F9" s="1865"/>
      <c r="G9" s="1865"/>
      <c r="H9" s="1865"/>
      <c r="I9" s="1865"/>
      <c r="J9" s="275"/>
    </row>
    <row r="10" spans="1:15" ht="15">
      <c r="A10" s="323"/>
      <c r="B10" s="1356">
        <v>1</v>
      </c>
      <c r="C10" s="323"/>
      <c r="D10" s="1866" t="s">
        <v>752</v>
      </c>
      <c r="E10" s="1864"/>
      <c r="F10" s="1865"/>
      <c r="G10" s="1865"/>
      <c r="H10" s="1865"/>
      <c r="I10" s="1865"/>
      <c r="J10" s="275"/>
    </row>
    <row r="11" spans="1:15" ht="15">
      <c r="A11" s="323"/>
      <c r="B11" s="1867" t="str">
        <f>+B$10&amp;"a"</f>
        <v>1a</v>
      </c>
      <c r="C11" s="323"/>
      <c r="D11" s="1868"/>
      <c r="E11" s="1869"/>
      <c r="F11" s="1870"/>
      <c r="G11" s="1870"/>
      <c r="H11" s="1871"/>
      <c r="I11" s="1872"/>
      <c r="J11" s="275"/>
    </row>
    <row r="12" spans="1:15" ht="15">
      <c r="A12" s="323"/>
      <c r="B12" s="1867" t="str">
        <f>+B$10&amp;"b"</f>
        <v>1b</v>
      </c>
      <c r="C12" s="323"/>
      <c r="D12" s="1868"/>
      <c r="E12" s="1869"/>
      <c r="F12" s="1870"/>
      <c r="G12" s="1870"/>
      <c r="H12" s="1873"/>
      <c r="I12" s="1872"/>
      <c r="J12" s="275"/>
    </row>
    <row r="13" spans="1:15" ht="15">
      <c r="A13" s="323"/>
      <c r="B13" s="1867" t="str">
        <f>+B$10&amp;"c"</f>
        <v>1c</v>
      </c>
      <c r="C13" s="323"/>
      <c r="D13" s="1868"/>
      <c r="E13" s="1869"/>
      <c r="F13" s="1870"/>
      <c r="G13" s="1870"/>
      <c r="H13" s="1871"/>
      <c r="I13" s="1872"/>
      <c r="J13" s="275"/>
    </row>
    <row r="14" spans="1:15" ht="15">
      <c r="A14" s="323"/>
      <c r="B14" s="1867" t="str">
        <f>+B$10&amp;"d"</f>
        <v>1d</v>
      </c>
      <c r="C14" s="323"/>
      <c r="D14" s="1868"/>
      <c r="E14" s="1869"/>
      <c r="F14" s="1870"/>
      <c r="G14" s="1870"/>
      <c r="H14" s="1871"/>
      <c r="I14" s="1872"/>
      <c r="J14" s="275"/>
    </row>
    <row r="15" spans="1:15" ht="15">
      <c r="A15" s="323"/>
      <c r="B15" s="1867" t="str">
        <f>+B$10&amp;"e"</f>
        <v>1e</v>
      </c>
      <c r="C15" s="323"/>
      <c r="D15" s="1868"/>
      <c r="E15" s="1869"/>
      <c r="F15" s="1870"/>
      <c r="G15" s="1870"/>
      <c r="H15" s="1871"/>
      <c r="I15" s="1872"/>
      <c r="J15" s="275"/>
    </row>
    <row r="16" spans="1:15" ht="15">
      <c r="A16" s="323"/>
      <c r="B16" s="1356">
        <f>+B10+1</f>
        <v>2</v>
      </c>
      <c r="C16" s="323"/>
      <c r="D16" s="1874" t="s">
        <v>738</v>
      </c>
      <c r="E16" s="1875"/>
      <c r="F16" s="1874"/>
      <c r="G16" s="1874"/>
      <c r="H16" s="1876"/>
      <c r="I16" s="1877">
        <f>+SUM(I11:I15)</f>
        <v>0</v>
      </c>
    </row>
    <row r="17" spans="1:10" ht="15">
      <c r="A17" s="323"/>
      <c r="B17" s="1356"/>
      <c r="C17" s="323"/>
      <c r="D17" s="1863"/>
      <c r="E17" s="1864"/>
      <c r="F17" s="1863"/>
      <c r="G17" s="1863"/>
      <c r="H17" s="1878"/>
      <c r="I17" s="1879"/>
      <c r="J17" s="275"/>
    </row>
    <row r="18" spans="1:10" ht="15">
      <c r="A18" s="323"/>
      <c r="B18" s="1356">
        <f>+B16+1</f>
        <v>3</v>
      </c>
      <c r="C18" s="323"/>
      <c r="D18" s="1866" t="s">
        <v>753</v>
      </c>
      <c r="E18" s="1864"/>
      <c r="F18" s="1863"/>
      <c r="G18" s="1863"/>
      <c r="H18" s="1878"/>
      <c r="I18" s="1879"/>
      <c r="J18" s="275"/>
    </row>
    <row r="19" spans="1:10" ht="15">
      <c r="A19" s="323"/>
      <c r="B19" s="1867" t="str">
        <f>+B$18&amp;"a"</f>
        <v>3a</v>
      </c>
      <c r="C19" s="323"/>
      <c r="D19" s="1868"/>
      <c r="E19" s="1869"/>
      <c r="F19" s="1870"/>
      <c r="G19" s="1870"/>
      <c r="H19" s="1871"/>
      <c r="I19" s="1872"/>
      <c r="J19" s="275"/>
    </row>
    <row r="20" spans="1:10" ht="15">
      <c r="A20" s="323"/>
      <c r="B20" s="1867" t="str">
        <f>+B$18&amp;"b"</f>
        <v>3b</v>
      </c>
      <c r="C20" s="323"/>
      <c r="D20" s="1868"/>
      <c r="E20" s="1869"/>
      <c r="F20" s="1870"/>
      <c r="G20" s="1870"/>
      <c r="H20" s="1871"/>
      <c r="I20" s="1872"/>
      <c r="J20" s="275"/>
    </row>
    <row r="21" spans="1:10" ht="15">
      <c r="A21" s="323"/>
      <c r="B21" s="1867" t="str">
        <f>+B$18&amp;"c"</f>
        <v>3c</v>
      </c>
      <c r="C21" s="323"/>
      <c r="D21" s="1868"/>
      <c r="E21" s="1869"/>
      <c r="F21" s="1870"/>
      <c r="G21" s="1870"/>
      <c r="H21" s="1871"/>
      <c r="I21" s="1872"/>
      <c r="J21" s="275"/>
    </row>
    <row r="22" spans="1:10" ht="15">
      <c r="A22" s="323"/>
      <c r="B22" s="1867" t="str">
        <f>+B$18&amp;"d"</f>
        <v>3d</v>
      </c>
      <c r="C22" s="323"/>
      <c r="D22" s="1868"/>
      <c r="E22" s="1869"/>
      <c r="F22" s="1868"/>
      <c r="G22" s="1868"/>
      <c r="H22" s="1871"/>
      <c r="I22" s="1872"/>
      <c r="J22" s="275"/>
    </row>
    <row r="23" spans="1:10" ht="15">
      <c r="A23" s="323"/>
      <c r="B23" s="1356">
        <f>+B18+1</f>
        <v>4</v>
      </c>
      <c r="C23" s="323"/>
      <c r="D23" s="1874" t="s">
        <v>739</v>
      </c>
      <c r="E23" s="1875"/>
      <c r="F23" s="1874"/>
      <c r="G23" s="1874"/>
      <c r="H23" s="1876"/>
      <c r="I23" s="1877">
        <f>+SUM(I19:I22)</f>
        <v>0</v>
      </c>
      <c r="J23" s="275"/>
    </row>
    <row r="24" spans="1:10" ht="30" customHeight="1">
      <c r="A24" s="323"/>
      <c r="B24" s="1356"/>
      <c r="C24" s="323"/>
      <c r="D24" s="1863"/>
      <c r="E24" s="1864"/>
      <c r="F24" s="1863"/>
      <c r="G24" s="1863"/>
      <c r="H24" s="1878"/>
      <c r="I24" s="1879"/>
      <c r="J24" s="275"/>
    </row>
    <row r="25" spans="1:10" ht="15">
      <c r="A25" s="323"/>
      <c r="B25" s="1356">
        <f>+B23+1</f>
        <v>5</v>
      </c>
      <c r="C25" s="323"/>
      <c r="D25" s="1866" t="s">
        <v>755</v>
      </c>
      <c r="E25" s="1864"/>
      <c r="F25" s="1865"/>
      <c r="G25" s="1865"/>
      <c r="H25" s="1865"/>
      <c r="I25" s="1865"/>
      <c r="J25" s="275"/>
    </row>
    <row r="26" spans="1:10" ht="15">
      <c r="A26" s="323"/>
      <c r="B26" s="1867" t="str">
        <f>+B$25&amp;"a"</f>
        <v>5a</v>
      </c>
      <c r="C26" s="323"/>
      <c r="D26" s="1868"/>
      <c r="E26" s="1869"/>
      <c r="F26" s="1870"/>
      <c r="G26" s="1870"/>
      <c r="H26" s="1871"/>
      <c r="I26" s="1872"/>
      <c r="J26" s="275"/>
    </row>
    <row r="27" spans="1:10" ht="15">
      <c r="A27" s="323"/>
      <c r="B27" s="1867" t="str">
        <f>+B$25&amp;"b"</f>
        <v>5b</v>
      </c>
      <c r="C27" s="323"/>
      <c r="D27" s="1868"/>
      <c r="E27" s="1869"/>
      <c r="F27" s="1870"/>
      <c r="G27" s="1870"/>
      <c r="H27" s="1871"/>
      <c r="I27" s="1872"/>
      <c r="J27" s="275"/>
    </row>
    <row r="28" spans="1:10" ht="15">
      <c r="A28" s="323"/>
      <c r="B28" s="1356">
        <f>+B25+1</f>
        <v>6</v>
      </c>
      <c r="C28" s="323"/>
      <c r="D28" s="1874" t="s">
        <v>738</v>
      </c>
      <c r="E28" s="1875"/>
      <c r="F28" s="1874"/>
      <c r="G28" s="1874"/>
      <c r="H28" s="1876"/>
      <c r="I28" s="1877">
        <f>+SUM(I26:I27)</f>
        <v>0</v>
      </c>
      <c r="J28" s="275"/>
    </row>
    <row r="29" spans="1:10" ht="15">
      <c r="A29" s="323"/>
      <c r="B29" s="1356"/>
      <c r="C29" s="323"/>
      <c r="D29" s="1863"/>
      <c r="E29" s="1864"/>
      <c r="F29" s="1863"/>
      <c r="G29" s="1863"/>
      <c r="H29" s="1878"/>
      <c r="I29" s="1879"/>
      <c r="J29" s="275"/>
    </row>
    <row r="30" spans="1:10" ht="15">
      <c r="A30" s="323"/>
      <c r="B30" s="1356">
        <f>+B28+1</f>
        <v>7</v>
      </c>
      <c r="C30" s="323"/>
      <c r="D30" s="1866" t="s">
        <v>756</v>
      </c>
      <c r="E30" s="1864"/>
      <c r="F30" s="1863"/>
      <c r="G30" s="1863"/>
      <c r="H30" s="1878"/>
      <c r="I30" s="1879"/>
      <c r="J30" s="275"/>
    </row>
    <row r="31" spans="1:10" ht="15">
      <c r="A31" s="323"/>
      <c r="B31" s="1867" t="str">
        <f>+B$30&amp;"a"</f>
        <v>7a</v>
      </c>
      <c r="C31" s="323"/>
      <c r="D31" s="1868"/>
      <c r="E31" s="1869"/>
      <c r="F31" s="1870"/>
      <c r="G31" s="1870"/>
      <c r="H31" s="1871"/>
      <c r="I31" s="1872"/>
      <c r="J31" s="275"/>
    </row>
    <row r="32" spans="1:10" ht="15">
      <c r="A32" s="323"/>
      <c r="B32" s="1867" t="str">
        <f>+B$30&amp;"b"</f>
        <v>7b</v>
      </c>
      <c r="C32" s="323"/>
      <c r="D32" s="1868"/>
      <c r="E32" s="1869"/>
      <c r="F32" s="1868"/>
      <c r="G32" s="1868"/>
      <c r="H32" s="1871"/>
      <c r="I32" s="1872"/>
      <c r="J32" s="275"/>
    </row>
    <row r="33" spans="1:14" ht="15">
      <c r="A33" s="323"/>
      <c r="B33" s="1356">
        <f>+B30+1</f>
        <v>8</v>
      </c>
      <c r="C33" s="323"/>
      <c r="D33" s="1874" t="s">
        <v>739</v>
      </c>
      <c r="E33" s="1875"/>
      <c r="F33" s="1874"/>
      <c r="G33" s="1874"/>
      <c r="H33" s="1876"/>
      <c r="I33" s="1877">
        <f>+SUM(I31:I32)</f>
        <v>0</v>
      </c>
      <c r="J33" s="275"/>
    </row>
    <row r="34" spans="1:14" ht="15">
      <c r="A34" s="323"/>
      <c r="B34" s="323"/>
      <c r="C34" s="323"/>
      <c r="D34" s="1863"/>
      <c r="E34" s="1864"/>
      <c r="F34" s="1863"/>
      <c r="G34" s="1863"/>
      <c r="H34" s="1878"/>
      <c r="I34" s="1879"/>
      <c r="J34" s="275"/>
    </row>
    <row r="36" spans="1:14" ht="15">
      <c r="D36" s="1880" t="s">
        <v>760</v>
      </c>
      <c r="K36" s="1855"/>
      <c r="L36" s="1855"/>
      <c r="M36" s="1855"/>
      <c r="N36" s="1855"/>
    </row>
    <row r="37" spans="1:14" ht="12.75" hidden="1" customHeight="1">
      <c r="K37" s="1523"/>
      <c r="L37" s="1523"/>
      <c r="M37" s="1523"/>
    </row>
    <row r="38" spans="1:14" ht="12.75" customHeight="1">
      <c r="D38" s="2260" t="s">
        <v>298</v>
      </c>
      <c r="E38" s="2260"/>
      <c r="F38" s="553" t="s">
        <v>299</v>
      </c>
      <c r="G38" s="553" t="s">
        <v>300</v>
      </c>
      <c r="H38" s="553" t="s">
        <v>301</v>
      </c>
      <c r="I38" s="553" t="s">
        <v>226</v>
      </c>
      <c r="J38" s="553" t="s">
        <v>227</v>
      </c>
      <c r="K38" s="553" t="s">
        <v>228</v>
      </c>
      <c r="L38" s="553" t="s">
        <v>233</v>
      </c>
      <c r="M38" s="553" t="s">
        <v>174</v>
      </c>
      <c r="N38" s="553" t="s">
        <v>73</v>
      </c>
    </row>
    <row r="39" spans="1:14" ht="43.5" customHeight="1">
      <c r="B39" s="1867">
        <f>+B33+1</f>
        <v>9</v>
      </c>
      <c r="D39" s="1881" t="s">
        <v>303</v>
      </c>
      <c r="E39" s="1882" t="s">
        <v>744</v>
      </c>
      <c r="F39" s="1882" t="s">
        <v>749</v>
      </c>
      <c r="G39" s="1882" t="s">
        <v>745</v>
      </c>
      <c r="H39" s="1882" t="s">
        <v>746</v>
      </c>
      <c r="I39" s="1883" t="str">
        <f>"Balance @ 12/31/"&amp;'SWT TCOS'!$N$2&amp;""</f>
        <v>Balance @ 12/31/2022</v>
      </c>
      <c r="J39" s="1883" t="str">
        <f>"Balance @ 12/31/"&amp;'SWT TCOS'!$N$2-1&amp;""</f>
        <v>Balance @ 12/31/2021</v>
      </c>
      <c r="K39" s="1884" t="s">
        <v>349</v>
      </c>
      <c r="L39" s="1884" t="s">
        <v>762</v>
      </c>
      <c r="M39" s="1884" t="s">
        <v>751</v>
      </c>
      <c r="N39" s="1884" t="s">
        <v>747</v>
      </c>
    </row>
    <row r="40" spans="1:14">
      <c r="B40" s="1867" t="str">
        <f>+B$33+1&amp;"a"</f>
        <v>9a</v>
      </c>
      <c r="D40" s="1868"/>
      <c r="E40" s="1870"/>
      <c r="F40" s="1870"/>
      <c r="G40" s="1885"/>
      <c r="H40" s="1380"/>
      <c r="I40" s="635"/>
      <c r="J40" s="1381"/>
      <c r="K40" s="1382">
        <f>+(I40+J40)/2</f>
        <v>0</v>
      </c>
      <c r="L40" s="1886"/>
      <c r="M40" s="1887"/>
      <c r="N40" s="1350">
        <f>+K40*M40</f>
        <v>0</v>
      </c>
    </row>
    <row r="41" spans="1:14">
      <c r="B41" s="1867" t="str">
        <f>+B$33+1&amp;"b"</f>
        <v>9b</v>
      </c>
      <c r="D41" s="1868"/>
      <c r="E41" s="1870"/>
      <c r="F41" s="1870"/>
      <c r="G41" s="1885"/>
      <c r="H41" s="1380"/>
      <c r="I41" s="635"/>
      <c r="J41" s="635"/>
      <c r="K41" s="1382">
        <f t="shared" ref="K41:K44" si="0">+(I41+J41)/2</f>
        <v>0</v>
      </c>
      <c r="L41" s="1886"/>
      <c r="M41" s="1887"/>
      <c r="N41" s="1350">
        <f t="shared" ref="N41:N44" si="1">+K41*M41</f>
        <v>0</v>
      </c>
    </row>
    <row r="42" spans="1:14">
      <c r="B42" s="1867" t="str">
        <f>+B$33+1&amp;"c"</f>
        <v>9c</v>
      </c>
      <c r="D42" s="1868"/>
      <c r="E42" s="1870"/>
      <c r="F42" s="1870"/>
      <c r="G42" s="1885"/>
      <c r="H42" s="1380"/>
      <c r="I42" s="635"/>
      <c r="J42" s="635"/>
      <c r="K42" s="1382">
        <f t="shared" si="0"/>
        <v>0</v>
      </c>
      <c r="L42" s="1886"/>
      <c r="M42" s="1888"/>
      <c r="N42" s="1350">
        <f t="shared" si="1"/>
        <v>0</v>
      </c>
    </row>
    <row r="43" spans="1:14">
      <c r="B43" s="1867" t="str">
        <f>+B$33+1&amp;"d"</f>
        <v>9d</v>
      </c>
      <c r="D43" s="1868"/>
      <c r="E43" s="1870"/>
      <c r="F43" s="1870"/>
      <c r="G43" s="1885"/>
      <c r="H43" s="1380"/>
      <c r="I43" s="635"/>
      <c r="J43" s="1381"/>
      <c r="K43" s="1382">
        <f t="shared" si="0"/>
        <v>0</v>
      </c>
      <c r="L43" s="1872"/>
      <c r="M43" s="1887"/>
      <c r="N43" s="1350">
        <f t="shared" si="1"/>
        <v>0</v>
      </c>
    </row>
    <row r="44" spans="1:14">
      <c r="B44" s="1867" t="str">
        <f>+B$33+1&amp;"e"</f>
        <v>9e</v>
      </c>
      <c r="D44" s="1868"/>
      <c r="E44" s="1870"/>
      <c r="F44" s="1870"/>
      <c r="G44" s="1885"/>
      <c r="H44" s="1380"/>
      <c r="I44" s="635"/>
      <c r="J44" s="1381"/>
      <c r="K44" s="1382">
        <f t="shared" si="0"/>
        <v>0</v>
      </c>
      <c r="L44" s="1872"/>
      <c r="M44" s="1887"/>
      <c r="N44" s="1350">
        <f t="shared" si="1"/>
        <v>0</v>
      </c>
    </row>
    <row r="45" spans="1:14">
      <c r="B45" s="1867">
        <f>+B39+1</f>
        <v>10</v>
      </c>
      <c r="D45" s="1861" t="s">
        <v>748</v>
      </c>
      <c r="E45" s="1861"/>
      <c r="F45" s="1861"/>
      <c r="G45" s="1861"/>
      <c r="H45" s="1861"/>
      <c r="I45" s="1386">
        <f>+SUM(I40:I44)</f>
        <v>0</v>
      </c>
      <c r="J45" s="1386">
        <f t="shared" ref="J45:K45" si="2">+SUM(J40:J44)</f>
        <v>0</v>
      </c>
      <c r="K45" s="1386">
        <f t="shared" si="2"/>
        <v>0</v>
      </c>
      <c r="L45" s="1861"/>
      <c r="M45" s="1861"/>
      <c r="N45" s="1386">
        <f>+SUM(N40:N44)</f>
        <v>0</v>
      </c>
    </row>
    <row r="46" spans="1:14">
      <c r="B46" s="1553"/>
    </row>
    <row r="47" spans="1:14" ht="18">
      <c r="A47" s="1074"/>
      <c r="B47" s="1889" t="s">
        <v>311</v>
      </c>
      <c r="C47" s="1889"/>
      <c r="D47" s="1889"/>
      <c r="E47" s="1889"/>
      <c r="F47" s="1889"/>
      <c r="G47" s="1889"/>
      <c r="H47" s="1889"/>
      <c r="I47" s="1889"/>
      <c r="J47" s="1074"/>
    </row>
    <row r="48" spans="1:14" ht="23.25" customHeight="1">
      <c r="A48" s="1074"/>
      <c r="B48" s="1890">
        <v>1</v>
      </c>
      <c r="C48" s="1891"/>
      <c r="D48" s="2324" t="s">
        <v>757</v>
      </c>
      <c r="E48" s="2324"/>
      <c r="F48" s="2324"/>
      <c r="G48" s="2324"/>
      <c r="H48" s="2324"/>
      <c r="I48" s="2324"/>
      <c r="J48" s="2324"/>
      <c r="K48" s="2324"/>
      <c r="L48" s="2324"/>
      <c r="M48" s="2324"/>
      <c r="N48" s="2324"/>
    </row>
    <row r="49" spans="1:15" ht="18">
      <c r="A49" s="1074"/>
      <c r="B49" s="1890">
        <v>2</v>
      </c>
      <c r="C49" s="1892"/>
      <c r="D49" s="2324" t="s">
        <v>868</v>
      </c>
      <c r="E49" s="2324"/>
      <c r="F49" s="2324"/>
      <c r="G49" s="2324"/>
      <c r="H49" s="2324"/>
      <c r="I49" s="2324"/>
      <c r="J49" s="2324"/>
      <c r="K49" s="2324"/>
      <c r="L49" s="2324"/>
      <c r="M49" s="2324"/>
      <c r="N49" s="2324"/>
      <c r="O49" s="276"/>
    </row>
    <row r="50" spans="1:15" ht="33" customHeight="1">
      <c r="A50" s="1074"/>
      <c r="B50" s="1890">
        <v>3</v>
      </c>
      <c r="C50" s="1893"/>
      <c r="D50" s="2324" t="s">
        <v>754</v>
      </c>
      <c r="E50" s="2324"/>
      <c r="F50" s="2324"/>
      <c r="G50" s="2324"/>
      <c r="H50" s="2324"/>
      <c r="I50" s="2324"/>
      <c r="J50" s="2324"/>
      <c r="K50" s="2324"/>
      <c r="L50" s="2324"/>
      <c r="M50" s="2324"/>
      <c r="N50" s="2324"/>
      <c r="O50" s="276"/>
    </row>
    <row r="51" spans="1:15" ht="18">
      <c r="A51" s="923"/>
      <c r="B51" s="1890">
        <v>4</v>
      </c>
      <c r="C51" s="923"/>
      <c r="D51" s="2324" t="s">
        <v>869</v>
      </c>
      <c r="E51" s="2324"/>
      <c r="F51" s="2324"/>
      <c r="G51" s="2324"/>
      <c r="H51" s="2324"/>
      <c r="I51" s="2324"/>
      <c r="J51" s="2324"/>
      <c r="K51" s="2324"/>
      <c r="L51" s="2324"/>
      <c r="M51" s="2324"/>
      <c r="N51" s="2324"/>
      <c r="O51" s="1860"/>
    </row>
    <row r="52" spans="1:15" ht="30.75" customHeight="1">
      <c r="B52" s="1890">
        <v>5</v>
      </c>
      <c r="C52" s="923"/>
      <c r="D52" s="2324" t="s">
        <v>764</v>
      </c>
      <c r="E52" s="2324"/>
      <c r="F52" s="2324"/>
      <c r="G52" s="2324"/>
      <c r="H52" s="2324"/>
      <c r="I52" s="2324"/>
      <c r="J52" s="2324"/>
      <c r="K52" s="2324"/>
      <c r="L52" s="2324"/>
      <c r="M52" s="2324"/>
      <c r="N52" s="2324"/>
    </row>
    <row r="53" spans="1:15" ht="18">
      <c r="B53" s="1890">
        <v>6</v>
      </c>
      <c r="C53" s="923"/>
      <c r="D53" s="2324" t="s">
        <v>763</v>
      </c>
      <c r="E53" s="2324"/>
      <c r="F53" s="2324"/>
      <c r="G53" s="2324"/>
      <c r="H53" s="2324"/>
      <c r="I53" s="2324"/>
      <c r="J53" s="2324"/>
      <c r="K53" s="2324"/>
      <c r="L53" s="2324"/>
      <c r="M53" s="2324"/>
      <c r="N53" s="2324"/>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My8yMy8yMDIyIDI6NDk6MTY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zQ5MDE2PC9Vc2VyTmFtZT48RGF0ZVRpbWU+NS85LzIwMjIgMTA6NDY6MzIgQU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56E3541-6FB2-490C-9430-EC6FEEE58D5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5057FFD-3D29-475F-AB9D-2C1AAF82D2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20</vt:i4>
      </vt:variant>
    </vt:vector>
  </HeadingPairs>
  <TitlesOfParts>
    <vt:vector size="82" baseType="lpstr">
      <vt:lpstr>Zonal Rates</vt:lpstr>
      <vt:lpstr>Sch 1 Rates</vt:lpstr>
      <vt:lpstr>OKT Sch 11 Rates</vt:lpstr>
      <vt:lpstr>SWT Sch 11 Rates</vt:lpstr>
      <vt:lpstr>Load WS</vt:lpstr>
      <vt:lpstr>OKT TCOS</vt:lpstr>
      <vt:lpstr>OKT WS A-1 - Plant</vt:lpstr>
      <vt:lpstr>OKT WS A-2 Accumulated Depn</vt:lpstr>
      <vt:lpstr>OKT WS B - Facility credits</vt:lpstr>
      <vt:lpstr>OKT WS C ADIT &amp; ADITC</vt:lpstr>
      <vt:lpstr>OKT WS C-1 ADIT EOY</vt:lpstr>
      <vt:lpstr>OKT WS C-2 ADIT BOY</vt:lpstr>
      <vt:lpstr>OKT WS C-3 ADIT Proration</vt:lpstr>
      <vt:lpstr>OKT WS C-4 Excess FIT</vt:lpstr>
      <vt:lpstr>OKT WS C-5 Excess ADIT</vt:lpstr>
      <vt:lpstr>OKTCO C-5-A Remeasurement</vt:lpstr>
      <vt:lpstr>OKTCO C-5-B Remeasurement</vt:lpstr>
      <vt:lpstr>OKT WS D Working Capital</vt:lpstr>
      <vt:lpstr>OKT WS E IPP Credits</vt:lpstr>
      <vt:lpstr>OKT WS F BPU ATRR</vt:lpstr>
      <vt:lpstr>OKT WS G BPU ATRR</vt:lpstr>
      <vt:lpstr>OKT WS H Rev Credits</vt:lpstr>
      <vt:lpstr>OKT WS I Exp Adj</vt:lpstr>
      <vt:lpstr>OKT WS J Misc Exp</vt:lpstr>
      <vt:lpstr>OKT WS K State Taxes</vt:lpstr>
      <vt:lpstr>OKT WS L Other Taxes</vt:lpstr>
      <vt:lpstr>OKT WS M - Cost of Capital</vt:lpstr>
      <vt:lpstr>OKT WS N Sch 11 TU</vt:lpstr>
      <vt:lpstr>OKT WS O Sch 9 NITS TU</vt:lpstr>
      <vt:lpstr>OKT WS P Sch 1 NITS TU</vt:lpstr>
      <vt:lpstr>OKT WS Q Interest Rate</vt:lpstr>
      <vt:lpstr>OKT WS R Unfunded Reserves</vt:lpstr>
      <vt:lpstr>OKT WS S Reg Assets</vt:lpstr>
      <vt:lpstr>OKT WS T - Dep Rates</vt:lpstr>
      <vt:lpstr>SWT TCOS</vt:lpstr>
      <vt:lpstr>SWT WS A-1 - Plant</vt:lpstr>
      <vt:lpstr>SWT WS A-2 Accumulated Depn</vt:lpstr>
      <vt:lpstr>SWT WS B - Facility credits</vt:lpstr>
      <vt:lpstr>SWT WS C ADIT &amp; ADITC</vt:lpstr>
      <vt:lpstr>SWT WS C-1 ADIT EOY</vt:lpstr>
      <vt:lpstr>SWT WS C-2 ADIT BOY</vt:lpstr>
      <vt:lpstr>SWT WS C-3 ADIT Proration</vt:lpstr>
      <vt:lpstr>SWT WS C-4 Excess FIT</vt:lpstr>
      <vt:lpstr>SWT WS C-5 Excess ADIT</vt:lpstr>
      <vt:lpstr>SWTCO WS C-5-A Remeasurement</vt:lpstr>
      <vt:lpstr>SWTCO WS C-5-B Remeasurement</vt:lpstr>
      <vt:lpstr>SWT WS D Working Capital</vt:lpstr>
      <vt:lpstr>SWT WS E IPP Credits</vt:lpstr>
      <vt:lpstr>SWT WS F BPU ATRR</vt:lpstr>
      <vt:lpstr>SWT WS G BPU ATRR</vt:lpstr>
      <vt:lpstr>SWT WS H Rev Credits</vt:lpstr>
      <vt:lpstr>SWT WS I Exp Adj</vt:lpstr>
      <vt:lpstr>SWT WS J Misc Exp</vt:lpstr>
      <vt:lpstr>SWT WS K State Taxes</vt:lpstr>
      <vt:lpstr>SWT WS L Other Taxes</vt:lpstr>
      <vt:lpstr>SWT WS M - Cost of Capital</vt:lpstr>
      <vt:lpstr>SWT WS N Sch 11 TU</vt:lpstr>
      <vt:lpstr>SWT WS O Sch 9 NITS TU</vt:lpstr>
      <vt:lpstr>SWT WS P Sch 1 NITS TU</vt:lpstr>
      <vt:lpstr>SWT WS Q Interest Rate</vt:lpstr>
      <vt:lpstr>SWT WS R Unfunded Reserves</vt:lpstr>
      <vt:lpstr>SWT WS S Reg Assets</vt:lpstr>
      <vt:lpstr>'OKT Sch 11 Rates'!Print_Area</vt:lpstr>
      <vt:lpstr>'OKT TCOS'!Print_Area</vt:lpstr>
      <vt:lpstr>'OKT WS C-5 Excess ADIT'!Print_Area</vt:lpstr>
      <vt:lpstr>'OKT WS F BPU ATRR'!Print_Area</vt:lpstr>
      <vt:lpstr>'OKT WS G BPU ATRR'!Print_Area</vt:lpstr>
      <vt:lpstr>'OKT WS M - Cost of Capital'!Print_Area</vt:lpstr>
      <vt:lpstr>'OKTCO C-5-A Remeasurement'!Print_Area</vt:lpstr>
      <vt:lpstr>'OKTCO C-5-B Remeasurement'!Print_Area</vt:lpstr>
      <vt:lpstr>'SWT Sch 11 Rates'!Print_Area</vt:lpstr>
      <vt:lpstr>'SWT TCOS'!Print_Area</vt:lpstr>
      <vt:lpstr>'SWT WS C-5 Excess ADIT'!Print_Area</vt:lpstr>
      <vt:lpstr>'SWT WS F BPU ATRR'!Print_Area</vt:lpstr>
      <vt:lpstr>'SWT WS G BPU ATRR'!Print_Area</vt:lpstr>
      <vt:lpstr>'SWT WS M - Cost of Capital'!Print_Area</vt:lpstr>
      <vt:lpstr>'SWTCO WS C-5-A Remeasurement'!Print_Area</vt:lpstr>
      <vt:lpstr>'SWTCO WS C-5-B Remeasurement'!Print_Area</vt:lpstr>
      <vt:lpstr>'OKT Sch 11 Rates'!Print_Titles</vt:lpstr>
      <vt:lpstr>'OKT WS C-5 Excess ADIT'!Print_Titles</vt:lpstr>
      <vt:lpstr>'SWT Sch 11 Rates'!Print_Titles</vt:lpstr>
      <vt:lpstr>'SWT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2023-05-25T12:37:51Z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10ee628e-1da2-4432-ac4a-6378e694da34</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{D56E3541-6FB2-490C-9430-EC6FEEE58D5A}</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